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鏡" sheetId="1" r:id="rId1"/>
    <sheet name="鋼材スライド額" sheetId="2" r:id="rId2"/>
    <sheet name="燃料スライド額" sheetId="3" r:id="rId3"/>
    <sheet name="資材スライド額" sheetId="4" r:id="rId4"/>
  </sheets>
  <definedNames/>
  <calcPr fullCalcOnLoad="1"/>
</workbook>
</file>

<file path=xl/comments2.xml><?xml version="1.0" encoding="utf-8"?>
<comments xmlns="http://schemas.openxmlformats.org/spreadsheetml/2006/main">
  <authors>
    <author>佐賀県</author>
  </authors>
  <commentList>
    <comment ref="C3" authorId="0">
      <text>
        <r>
          <rPr>
            <sz val="9"/>
            <rFont val="ＭＳ Ｐゴシック"/>
            <family val="3"/>
          </rPr>
          <t>※　証明された数量と対象数量の考え方
証明数量＜設計図書の数量　　　　　　　　 →　当該材料は対象材料とならない。
設計図書の数量≦証明数量≦設計数量　→　対象材料。対象数量は証明数量。
設計数量＜証明数量　　　　　　　　　　　　　→　対象材料。対象材料は設計数量。
注）
設計図書の数量　：　設計図書（数量総括表や図面等）に記載されている数量
設計数量　　　　　 ：　設計図書の数量にロスを加えた数量（積算上の数量）
証明数量　　　　   ：　請負者から証明された数量</t>
        </r>
      </text>
    </comment>
  </commentList>
</comments>
</file>

<file path=xl/comments3.xml><?xml version="1.0" encoding="utf-8"?>
<comments xmlns="http://schemas.openxmlformats.org/spreadsheetml/2006/main">
  <authors>
    <author>佐賀県</author>
  </authors>
  <commentList>
    <comment ref="P8" authorId="0">
      <text>
        <r>
          <rPr>
            <sz val="9"/>
            <rFont val="ＭＳ Ｐゴシック"/>
            <family val="3"/>
          </rPr>
          <t xml:space="preserve">①：未証明の購入数量（現場場内に建設機械に係る数量）
</t>
        </r>
      </text>
    </comment>
    <comment ref="P28" authorId="0">
      <text>
        <r>
          <rPr>
            <sz val="9"/>
            <rFont val="ＭＳ Ｐゴシック"/>
            <family val="3"/>
          </rPr>
          <t xml:space="preserve">「購入数量（証明済み）の合計数量が設計計上を超過している場合は、計上できない。」
　　　　　　　　　　　　　↓
（証明済み＋未証明分）≦設計数量
</t>
        </r>
      </text>
    </comment>
    <comment ref="A34" authorId="0">
      <text>
        <r>
          <rPr>
            <sz val="9"/>
            <rFont val="ＭＳ Ｐゴシック"/>
            <family val="3"/>
          </rPr>
          <t xml:space="preserve">「現場場内建設機械に係る数量」と「資機材運搬に係る」について複数の申請があった場合は、各月毎に各々の購入数量と購入価格の加重平均による値を【②乙購入価格】とすること。
</t>
        </r>
      </text>
    </comment>
    <comment ref="P14" authorId="0">
      <text>
        <r>
          <rPr>
            <sz val="9"/>
            <rFont val="ＭＳ Ｐゴシック"/>
            <family val="3"/>
          </rPr>
          <t xml:space="preserve">②契約月の翌月～工期末の前々月の実勢価格の平均値。
</t>
        </r>
        <r>
          <rPr>
            <b/>
            <sz val="9"/>
            <color indexed="10"/>
            <rFont val="ＭＳ Ｐゴシック"/>
            <family val="3"/>
          </rPr>
          <t>※計算式の範囲は要変更。
甲、乙とも同単価を計上する。</t>
        </r>
        <r>
          <rPr>
            <sz val="9"/>
            <rFont val="ＭＳ Ｐゴシック"/>
            <family val="3"/>
          </rPr>
          <t xml:space="preserve">
</t>
        </r>
      </text>
    </comment>
    <comment ref="A35" authorId="0">
      <text>
        <r>
          <rPr>
            <sz val="9"/>
            <rFont val="ＭＳ Ｐゴシック"/>
            <family val="3"/>
          </rPr>
          <t xml:space="preserve">①：証明済みの各月の購入数量（現場内建設機械に係る数量）
①’：証明済みの各月の購入数量（資機材運搬に係る数量）
②：当該数量を購入した際の購入価格
③：購入月の実勢価格（翌月の「物価資料等」の価格）
</t>
        </r>
      </text>
    </comment>
  </commentList>
</comments>
</file>

<file path=xl/comments4.xml><?xml version="1.0" encoding="utf-8"?>
<comments xmlns="http://schemas.openxmlformats.org/spreadsheetml/2006/main">
  <authors>
    <author>佐賀県</author>
  </authors>
  <commentList>
    <comment ref="C3" authorId="0">
      <text>
        <r>
          <rPr>
            <sz val="9"/>
            <rFont val="ＭＳ Ｐゴシック"/>
            <family val="3"/>
          </rPr>
          <t>※　証明された数量と対象数量の考え方
証明数量＜設計図書の数量　　　　　　　　 →　当該材料は対象材料とならない。
設計図書の数量≦証明数量≦設計数量　→　対象材料。対象数量は証明数量。
設計数量＜証明数量　　　　　　　　　　　　　→　対象材料。対象材料は設計数量。
注）
設計図書の数量　：　設計図書（数量総括表や図面等）に記載されている数量
設計数量　　　　　 ：　設計図書の数量にロスを加えた数量（積算上の数量）
証明数量　　　　   ：　請負者から証明された数量</t>
        </r>
      </text>
    </comment>
  </commentList>
</comments>
</file>

<file path=xl/sharedStrings.xml><?xml version="1.0" encoding="utf-8"?>
<sst xmlns="http://schemas.openxmlformats.org/spreadsheetml/2006/main" count="234" uniqueCount="110">
  <si>
    <t>　甲　スライド単価　ｐ'</t>
  </si>
  <si>
    <t>購入数量（証明済み）</t>
  </si>
  <si>
    <t>購入数量</t>
  </si>
  <si>
    <t>（未証明）</t>
  </si>
  <si>
    <t>（合計）</t>
  </si>
  <si>
    <t>（現場内建設機械に係る数量）</t>
  </si>
  <si>
    <t>①　乙　購入数量</t>
  </si>
  <si>
    <t>（資機材運搬に係る数量）</t>
  </si>
  <si>
    <t>①'　乙　購入数量</t>
  </si>
  <si>
    <t>②　乙　購入価格</t>
  </si>
  <si>
    <t>（税込み）</t>
  </si>
  <si>
    <t>③　甲　実勢価格</t>
  </si>
  <si>
    <t>（物価資料価格：税抜き）</t>
  </si>
  <si>
    <t>乙　購入金額</t>
  </si>
  <si>
    <t>①×②</t>
  </si>
  <si>
    <t>①'×②</t>
  </si>
  <si>
    <t>甲　実勢金額</t>
  </si>
  <si>
    <t>（①＋①'）×③</t>
  </si>
  <si>
    <t>＝</t>
  </si>
  <si>
    <t>本省通達　２．スライド額の算定（３）の①より</t>
  </si>
  <si>
    <t>⇒</t>
  </si>
  <si>
    <t>計</t>
  </si>
  <si>
    <t>【スライド額の算出】</t>
  </si>
  <si>
    <t>落札率</t>
  </si>
  <si>
    <t>当初設計単価</t>
  </si>
  <si>
    <t>甲スライド単価</t>
  </si>
  <si>
    <t>Ｍ変更・油（甲）</t>
  </si>
  <si>
    <t>Ｍ変更・油（乙）</t>
  </si>
  <si>
    <t>Ｍ当初・油（甲）</t>
  </si>
  <si>
    <t>変動額　油</t>
  </si>
  <si>
    <t>設計単価（円）</t>
  </si>
  <si>
    <t>円</t>
  </si>
  <si>
    <t>年</t>
  </si>
  <si>
    <t>月</t>
  </si>
  <si>
    <t>日</t>
  </si>
  <si>
    <t>①×③（計）
②×③（計）
③（計）</t>
  </si>
  <si>
    <t>①各月の実勢価格（円）</t>
  </si>
  <si>
    <t>②搬入又は購入時の価格（円）</t>
  </si>
  <si>
    <t>③搬入又は購入時の数量（ｔ）</t>
  </si>
  <si>
    <t>○価格変動前の金額：Ｍ当初鋼  ＝  設計価格(設計時点の実勢価格×対象数量)×落札率×（１＋消費税率）</t>
  </si>
  <si>
    <t>○実購入額</t>
  </si>
  <si>
    <t>＝</t>
  </si>
  <si>
    <t>○変動額Ｍ変更鋼－Ｍ当初鋼＝</t>
  </si>
  <si>
    <t>　</t>
  </si>
  <si>
    <t>～</t>
  </si>
  <si>
    <t>×</t>
  </si>
  <si>
    <t>＝</t>
  </si>
  <si>
    <t>－</t>
  </si>
  <si>
    <t>＝</t>
  </si>
  <si>
    <t>Ｌ</t>
  </si>
  <si>
    <t>①　乙　購入数量に対する設計数量（積算システムによる数量）</t>
  </si>
  <si>
    <t>Ｌ</t>
  </si>
  <si>
    <t>Ｌ</t>
  </si>
  <si>
    <t>①'　乙　購入数量に対する設計数量（運用マニュアルによる算出値）</t>
  </si>
  <si>
    <t>工　　事　　名</t>
  </si>
  <si>
    <t>工　　　期</t>
  </si>
  <si>
    <t>※対象数量（積算ｼｽﾃﾑの数量と購入数量の小さい方）</t>
  </si>
  <si>
    <t>÷</t>
  </si>
  <si>
    <t>Ｐ' ＝ Σ （ 購入数量 × 実勢価格 ） ÷ 購入数量  ＝</t>
  </si>
  <si>
    <t>＋</t>
  </si>
  <si>
    <t>ガソリン</t>
  </si>
  <si>
    <t>ｐ</t>
  </si>
  <si>
    <t>ｐ'</t>
  </si>
  <si>
    <t>軽油</t>
  </si>
  <si>
    <t>円、</t>
  </si>
  <si>
    <t>×（</t>
  </si>
  <si>
    <t>対象燃料油</t>
  </si>
  <si>
    <t>－</t>
  </si>
  <si>
    <t>×1%</t>
  </si>
  <si>
    <t>資　　材　　名</t>
  </si>
  <si>
    <t>設　計　価　格</t>
  </si>
  <si>
    <t>スライド額　　＝</t>
  </si>
  <si>
    <t xml:space="preserve">       　　　　　　　＝</t>
  </si>
  <si>
    <t>予定価格（税抜き）</t>
  </si>
  <si>
    <t>落札価格（税抜き）</t>
  </si>
  <si>
    <t>※変更設計済みの場合は変更請負額</t>
  </si>
  <si>
    <t>請負額（税込み）①</t>
  </si>
  <si>
    <t>部分払額（税込み）②</t>
  </si>
  <si>
    <t>対象工事費（①－②）</t>
  </si>
  <si>
    <t>鋼材の判定</t>
  </si>
  <si>
    <t>燃料油の判定</t>
  </si>
  <si>
    <t>－</t>
  </si>
  <si>
    <t>※部分引渡しを受けている場合</t>
  </si>
  <si>
    <t>鋼材の変動額</t>
  </si>
  <si>
    <r>
      <t>対象工事費の1</t>
    </r>
    <r>
      <rPr>
        <sz val="11"/>
        <rFont val="ＭＳ Ｐゴシック"/>
        <family val="3"/>
      </rPr>
      <t>%</t>
    </r>
  </si>
  <si>
    <t>燃料油の変動額</t>
  </si>
  <si>
    <t>対象数量</t>
  </si>
  <si>
    <t>○価格変動後の金額：Ｍ変更鋼  ＝ 各月の実勢価格（計）（搬入月の実勢価格（加重平均）×対象数量）×落札率×（１＋消費税率）</t>
  </si>
  <si>
    <t>鉄筋Ｄ１３（仮）</t>
  </si>
  <si>
    <t>＝</t>
  </si>
  <si>
    <t>⇒</t>
  </si>
  <si>
    <t>Ｐ' ＝ Σ （ 購入数量 × 実勢価格 ） ÷ 購入数量  ＝</t>
  </si>
  <si>
    <t>÷</t>
  </si>
  <si>
    <t>＋</t>
  </si>
  <si>
    <t>佐賀市建設工事請負契約約款第２５条第５項
単　品　ス　ラ　イ　ド　額　の　計　算</t>
  </si>
  <si>
    <t>【資材の変動額の計算】</t>
  </si>
  <si>
    <t>【燃料油の変動額の計算】</t>
  </si>
  <si>
    <t xml:space="preserve">【鋼材の変動額の計算】 </t>
  </si>
  <si>
    <t>栗石</t>
  </si>
  <si>
    <t>砕石</t>
  </si>
  <si>
    <t>○変動額Ｍ変更－Ｍ当初＝</t>
  </si>
  <si>
    <t>○価格変動前の金額：Ｍ当初  ＝  設計価格(設計時点の実勢価格×対象数量)×落札率×（１＋消費税率）</t>
  </si>
  <si>
    <t>③搬入又は購入時の数量（ｍ3）</t>
  </si>
  <si>
    <t>○価格変動後の金額：Ｍ変更  ＝ 各月の実勢価格（計）（搬入月の実勢価格（加重平均）×対象数量）×落札率×（１＋消費税率）</t>
  </si>
  <si>
    <t>鋼材の変動額　＋　燃料油の変動額＋資材の変動額　－　対象工事費　×　１%</t>
  </si>
  <si>
    <t>資材の判定</t>
  </si>
  <si>
    <t>資材の変動額</t>
  </si>
  <si>
    <t>令和</t>
  </si>
  <si>
    <t>令和</t>
  </si>
  <si>
    <t>第3431100000号
○○管渠布設工事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</si>
</sst>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月&quot;"/>
    <numFmt numFmtId="178" formatCode="&quot;&quot;"/>
    <numFmt numFmtId="179" formatCode="[$-411]ge\.m\.d;@"/>
    <numFmt numFmtId="180" formatCode="0.0%"/>
    <numFmt numFmtId="181" formatCode="&quot;(&quot;\ \ #,###"/>
    <numFmt numFmtId="182" formatCode="#,###\ \ &quot;)&quot;"/>
    <numFmt numFmtId="183" formatCode="&quot;+&quot;\ #,##0"/>
    <numFmt numFmtId="184" formatCode="&quot;[&quot;\ #"/>
    <numFmt numFmtId="185" formatCode="&quot;)  + &quot;"/>
    <numFmt numFmtId="186" formatCode="&quot;)  + &quot;#"/>
    <numFmt numFmtId="187" formatCode="&quot;)  + &quot;#\ &quot;×&quot;"/>
    <numFmt numFmtId="188" formatCode="&quot;) + &quot;#\ &quot;×&quot;"/>
    <numFmt numFmtId="189" formatCode="&quot;)+ &quot;#\ &quot;×&quot;"/>
    <numFmt numFmtId="190" formatCode="&quot;(&quot;#,###"/>
    <numFmt numFmtId="191" formatCode="&quot;(  &quot;#,###"/>
    <numFmt numFmtId="192" formatCode="&quot;+&quot;\ \ #,##0"/>
    <numFmt numFmtId="193" formatCode="&quot;)}×&quot;0%"/>
    <numFmt numFmtId="194" formatCode="&quot;) ] ×&quot;0%"/>
    <numFmt numFmtId="195" formatCode="&quot;×&quot;\ #.0#"/>
    <numFmt numFmtId="196" formatCode="&quot;×&quot;\ #.0#&quot;＝&quot;"/>
    <numFmt numFmtId="197" formatCode="&quot;[&quot;\ \ \ #"/>
    <numFmt numFmtId="198" formatCode="#,##0.0;[Red]\-#,##0.0"/>
    <numFmt numFmtId="199" formatCode="#,##0.000;[Red]\-#,##0.000"/>
    <numFmt numFmtId="200" formatCode="#,##0.000_);[Red]\(#,##0.000\)"/>
    <numFmt numFmtId="201" formatCode="#,##0_);[Red]\(#,##0\)"/>
    <numFmt numFmtId="202" formatCode="#,##0.000_ ;[Red]\-#,##0.000\ "/>
    <numFmt numFmtId="203" formatCode="&quot;) ] ×&quot;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7" fontId="2" fillId="33" borderId="13" xfId="0" applyNumberFormat="1" applyFont="1" applyFill="1" applyBorder="1" applyAlignment="1">
      <alignment horizontal="center" vertical="center" shrinkToFit="1"/>
    </xf>
    <xf numFmtId="177" fontId="2" fillId="33" borderId="14" xfId="0" applyNumberFormat="1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wrapText="1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33" borderId="18" xfId="49" applyFont="1" applyFill="1" applyBorder="1" applyAlignment="1">
      <alignment horizontal="right" vertical="center"/>
    </xf>
    <xf numFmtId="38" fontId="2" fillId="33" borderId="19" xfId="49" applyFont="1" applyFill="1" applyBorder="1" applyAlignment="1">
      <alignment horizontal="right" vertical="center"/>
    </xf>
    <xf numFmtId="38" fontId="2" fillId="33" borderId="20" xfId="49" applyFont="1" applyFill="1" applyBorder="1" applyAlignment="1">
      <alignment horizontal="right" vertical="center"/>
    </xf>
    <xf numFmtId="38" fontId="2" fillId="33" borderId="10" xfId="49" applyFont="1" applyFill="1" applyBorder="1" applyAlignment="1">
      <alignment horizontal="right" vertical="center"/>
    </xf>
    <xf numFmtId="38" fontId="2" fillId="33" borderId="21" xfId="49" applyFont="1" applyFill="1" applyBorder="1" applyAlignment="1">
      <alignment horizontal="right" vertical="center"/>
    </xf>
    <xf numFmtId="38" fontId="2" fillId="33" borderId="22" xfId="49" applyFont="1" applyFill="1" applyBorder="1" applyAlignment="1">
      <alignment horizontal="right" vertical="center"/>
    </xf>
    <xf numFmtId="38" fontId="2" fillId="33" borderId="23" xfId="49" applyFont="1" applyFill="1" applyBorder="1" applyAlignment="1">
      <alignment horizontal="right" vertical="center"/>
    </xf>
    <xf numFmtId="177" fontId="2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 quotePrefix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38" fontId="0" fillId="0" borderId="34" xfId="49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38" fontId="2" fillId="33" borderId="35" xfId="0" applyNumberFormat="1" applyFont="1" applyFill="1" applyBorder="1" applyAlignment="1">
      <alignment vertical="center"/>
    </xf>
    <xf numFmtId="3" fontId="2" fillId="33" borderId="35" xfId="0" applyNumberFormat="1" applyFont="1" applyFill="1" applyBorder="1" applyAlignment="1">
      <alignment vertical="center"/>
    </xf>
    <xf numFmtId="38" fontId="2" fillId="33" borderId="36" xfId="0" applyNumberFormat="1" applyFont="1" applyFill="1" applyBorder="1" applyAlignment="1">
      <alignment vertical="center"/>
    </xf>
    <xf numFmtId="0" fontId="2" fillId="33" borderId="0" xfId="0" applyFont="1" applyFill="1" applyBorder="1" applyAlignment="1" quotePrefix="1">
      <alignment horizontal="center" vertical="center"/>
    </xf>
    <xf numFmtId="0" fontId="2" fillId="33" borderId="33" xfId="0" applyFont="1" applyFill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38" fontId="2" fillId="0" borderId="0" xfId="49" applyFont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38" fontId="2" fillId="33" borderId="38" xfId="0" applyNumberFormat="1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41" xfId="0" applyFont="1" applyFill="1" applyBorder="1" applyAlignment="1">
      <alignment horizontal="center" vertical="center"/>
    </xf>
    <xf numFmtId="38" fontId="2" fillId="33" borderId="34" xfId="0" applyNumberFormat="1" applyFont="1" applyFill="1" applyBorder="1" applyAlignment="1">
      <alignment vertical="center"/>
    </xf>
    <xf numFmtId="197" fontId="2" fillId="33" borderId="0" xfId="0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horizontal="center" vertical="center"/>
    </xf>
    <xf numFmtId="183" fontId="2" fillId="33" borderId="0" xfId="0" applyNumberFormat="1" applyFont="1" applyFill="1" applyBorder="1" applyAlignment="1">
      <alignment horizontal="center" vertical="center"/>
    </xf>
    <xf numFmtId="189" fontId="2" fillId="33" borderId="0" xfId="0" applyNumberFormat="1" applyFont="1" applyFill="1" applyBorder="1" applyAlignment="1">
      <alignment vertical="center"/>
    </xf>
    <xf numFmtId="191" fontId="2" fillId="33" borderId="0" xfId="0" applyNumberFormat="1" applyFont="1" applyFill="1" applyBorder="1" applyAlignment="1">
      <alignment vertical="center"/>
    </xf>
    <xf numFmtId="192" fontId="2" fillId="33" borderId="0" xfId="0" applyNumberFormat="1" applyFont="1" applyFill="1" applyBorder="1" applyAlignment="1">
      <alignment vertical="center"/>
    </xf>
    <xf numFmtId="196" fontId="2" fillId="33" borderId="0" xfId="0" applyNumberFormat="1" applyFont="1" applyFill="1" applyBorder="1" applyAlignment="1">
      <alignment horizontal="center" vertical="center"/>
    </xf>
    <xf numFmtId="38" fontId="2" fillId="33" borderId="33" xfId="49" applyFont="1" applyFill="1" applyBorder="1" applyAlignment="1">
      <alignment vertical="center"/>
    </xf>
    <xf numFmtId="38" fontId="2" fillId="33" borderId="34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 quotePrefix="1">
      <alignment horizontal="center" vertical="center"/>
    </xf>
    <xf numFmtId="38" fontId="2" fillId="0" borderId="0" xfId="49" applyFont="1" applyFill="1" applyBorder="1" applyAlignment="1">
      <alignment vertical="top" wrapText="1"/>
    </xf>
    <xf numFmtId="180" fontId="2" fillId="0" borderId="0" xfId="42" applyNumberFormat="1" applyFont="1" applyFill="1" applyBorder="1" applyAlignment="1">
      <alignment vertical="center"/>
    </xf>
    <xf numFmtId="38" fontId="2" fillId="33" borderId="42" xfId="49" applyFont="1" applyFill="1" applyBorder="1" applyAlignment="1">
      <alignment horizontal="right" vertical="center"/>
    </xf>
    <xf numFmtId="197" fontId="2" fillId="33" borderId="41" xfId="0" applyNumberFormat="1" applyFont="1" applyFill="1" applyBorder="1" applyAlignment="1">
      <alignment vertical="center"/>
    </xf>
    <xf numFmtId="183" fontId="2" fillId="33" borderId="34" xfId="0" applyNumberFormat="1" applyFont="1" applyFill="1" applyBorder="1" applyAlignment="1">
      <alignment horizontal="center" vertical="center"/>
    </xf>
    <xf numFmtId="189" fontId="2" fillId="33" borderId="34" xfId="0" applyNumberFormat="1" applyFont="1" applyFill="1" applyBorder="1" applyAlignment="1">
      <alignment vertical="center"/>
    </xf>
    <xf numFmtId="191" fontId="2" fillId="33" borderId="34" xfId="0" applyNumberFormat="1" applyFont="1" applyFill="1" applyBorder="1" applyAlignment="1">
      <alignment vertical="center"/>
    </xf>
    <xf numFmtId="192" fontId="2" fillId="33" borderId="34" xfId="0" applyNumberFormat="1" applyFont="1" applyFill="1" applyBorder="1" applyAlignment="1">
      <alignment vertical="center"/>
    </xf>
    <xf numFmtId="196" fontId="2" fillId="33" borderId="34" xfId="0" applyNumberFormat="1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38" fontId="2" fillId="33" borderId="40" xfId="49" applyFont="1" applyFill="1" applyBorder="1" applyAlignment="1">
      <alignment vertical="center"/>
    </xf>
    <xf numFmtId="199" fontId="2" fillId="0" borderId="48" xfId="49" applyNumberFormat="1" applyFont="1" applyBorder="1" applyAlignment="1">
      <alignment horizontal="right" vertical="center"/>
    </xf>
    <xf numFmtId="199" fontId="2" fillId="0" borderId="24" xfId="49" applyNumberFormat="1" applyFont="1" applyBorder="1" applyAlignment="1">
      <alignment horizontal="right" vertical="center"/>
    </xf>
    <xf numFmtId="199" fontId="2" fillId="0" borderId="49" xfId="49" applyNumberFormat="1" applyFont="1" applyBorder="1" applyAlignment="1">
      <alignment horizontal="right" vertical="center"/>
    </xf>
    <xf numFmtId="199" fontId="2" fillId="0" borderId="50" xfId="49" applyNumberFormat="1" applyFont="1" applyBorder="1" applyAlignment="1">
      <alignment horizontal="right" vertical="center"/>
    </xf>
    <xf numFmtId="199" fontId="2" fillId="33" borderId="51" xfId="49" applyNumberFormat="1" applyFont="1" applyFill="1" applyBorder="1" applyAlignment="1">
      <alignment horizontal="right" vertical="center"/>
    </xf>
    <xf numFmtId="199" fontId="2" fillId="33" borderId="52" xfId="49" applyNumberFormat="1" applyFont="1" applyFill="1" applyBorder="1" applyAlignment="1">
      <alignment horizontal="right" vertical="center"/>
    </xf>
    <xf numFmtId="199" fontId="2" fillId="33" borderId="53" xfId="49" applyNumberFormat="1" applyFont="1" applyFill="1" applyBorder="1" applyAlignment="1">
      <alignment horizontal="right" vertical="center"/>
    </xf>
    <xf numFmtId="203" fontId="2" fillId="33" borderId="0" xfId="0" applyNumberFormat="1" applyFont="1" applyFill="1" applyBorder="1" applyAlignment="1">
      <alignment horizontal="center" vertical="center" shrinkToFit="1"/>
    </xf>
    <xf numFmtId="203" fontId="2" fillId="33" borderId="34" xfId="0" applyNumberFormat="1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/>
    </xf>
    <xf numFmtId="38" fontId="0" fillId="7" borderId="32" xfId="49" applyFont="1" applyFill="1" applyBorder="1" applyAlignment="1">
      <alignment horizontal="center" vertical="center"/>
    </xf>
    <xf numFmtId="38" fontId="0" fillId="7" borderId="0" xfId="49" applyFont="1" applyFill="1" applyBorder="1" applyAlignment="1">
      <alignment horizontal="center" vertical="center"/>
    </xf>
    <xf numFmtId="176" fontId="0" fillId="7" borderId="0" xfId="49" applyNumberFormat="1" applyFont="1" applyFill="1" applyBorder="1" applyAlignment="1">
      <alignment horizontal="center" vertical="center"/>
    </xf>
    <xf numFmtId="0" fontId="0" fillId="7" borderId="0" xfId="49" applyNumberFormat="1" applyFont="1" applyFill="1" applyBorder="1" applyAlignment="1">
      <alignment horizontal="center" vertical="center"/>
    </xf>
    <xf numFmtId="38" fontId="2" fillId="7" borderId="0" xfId="49" applyFont="1" applyFill="1" applyBorder="1" applyAlignment="1">
      <alignment horizontal="left" vertical="center"/>
    </xf>
    <xf numFmtId="178" fontId="2" fillId="7" borderId="33" xfId="0" applyNumberFormat="1" applyFont="1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33" xfId="0" applyFill="1" applyBorder="1" applyAlignment="1">
      <alignment vertical="center"/>
    </xf>
    <xf numFmtId="0" fontId="0" fillId="7" borderId="32" xfId="0" applyFill="1" applyBorder="1" applyAlignment="1">
      <alignment horizontal="center" vertical="center"/>
    </xf>
    <xf numFmtId="9" fontId="0" fillId="7" borderId="0" xfId="42" applyFont="1" applyFill="1" applyBorder="1" applyAlignment="1">
      <alignment horizontal="center" vertical="center"/>
    </xf>
    <xf numFmtId="38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9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38" fontId="2" fillId="7" borderId="34" xfId="49" applyFont="1" applyFill="1" applyBorder="1" applyAlignment="1">
      <alignment horizontal="left" vertical="center"/>
    </xf>
    <xf numFmtId="0" fontId="0" fillId="7" borderId="34" xfId="0" applyFill="1" applyBorder="1" applyAlignment="1">
      <alignment vertical="center"/>
    </xf>
    <xf numFmtId="38" fontId="0" fillId="7" borderId="34" xfId="49" applyFont="1" applyFill="1" applyBorder="1" applyAlignment="1">
      <alignment horizontal="center" vertical="center"/>
    </xf>
    <xf numFmtId="180" fontId="0" fillId="7" borderId="34" xfId="42" applyNumberFormat="1" applyFont="1" applyFill="1" applyBorder="1" applyAlignment="1">
      <alignment horizontal="center" vertical="center"/>
    </xf>
    <xf numFmtId="180" fontId="0" fillId="7" borderId="40" xfId="42" applyNumberFormat="1" applyFont="1" applyFill="1" applyBorder="1" applyAlignment="1">
      <alignment horizontal="center" vertical="center"/>
    </xf>
    <xf numFmtId="38" fontId="2" fillId="7" borderId="43" xfId="49" applyFont="1" applyFill="1" applyBorder="1" applyAlignment="1">
      <alignment horizontal="left" vertical="center"/>
    </xf>
    <xf numFmtId="38" fontId="0" fillId="7" borderId="43" xfId="49" applyFont="1" applyFill="1" applyBorder="1" applyAlignment="1">
      <alignment horizontal="center" vertical="center"/>
    </xf>
    <xf numFmtId="180" fontId="0" fillId="7" borderId="43" xfId="42" applyNumberFormat="1" applyFont="1" applyFill="1" applyBorder="1" applyAlignment="1">
      <alignment horizontal="center" vertical="center"/>
    </xf>
    <xf numFmtId="180" fontId="0" fillId="7" borderId="54" xfId="42" applyNumberFormat="1" applyFont="1" applyFill="1" applyBorder="1" applyAlignment="1">
      <alignment horizontal="center" vertical="center"/>
    </xf>
    <xf numFmtId="38" fontId="0" fillId="7" borderId="34" xfId="49" applyFont="1" applyFill="1" applyBorder="1" applyAlignment="1">
      <alignment horizontal="left" vertical="center"/>
    </xf>
    <xf numFmtId="176" fontId="0" fillId="7" borderId="41" xfId="49" applyNumberFormat="1" applyFont="1" applyFill="1" applyBorder="1" applyAlignment="1">
      <alignment horizontal="center" vertical="center"/>
    </xf>
    <xf numFmtId="0" fontId="0" fillId="7" borderId="34" xfId="49" applyNumberFormat="1" applyFont="1" applyFill="1" applyBorder="1" applyAlignment="1">
      <alignment horizontal="center" vertical="center"/>
    </xf>
    <xf numFmtId="176" fontId="0" fillId="7" borderId="34" xfId="49" applyNumberFormat="1" applyFont="1" applyFill="1" applyBorder="1" applyAlignment="1">
      <alignment horizontal="center" vertical="center"/>
    </xf>
    <xf numFmtId="38" fontId="2" fillId="7" borderId="43" xfId="49" applyFont="1" applyFill="1" applyBorder="1" applyAlignment="1">
      <alignment horizontal="center" vertical="center"/>
    </xf>
    <xf numFmtId="178" fontId="2" fillId="7" borderId="40" xfId="0" applyNumberFormat="1" applyFont="1" applyFill="1" applyBorder="1" applyAlignment="1">
      <alignment vertical="center"/>
    </xf>
    <xf numFmtId="176" fontId="0" fillId="7" borderId="55" xfId="49" applyNumberFormat="1" applyFont="1" applyFill="1" applyBorder="1" applyAlignment="1">
      <alignment horizontal="center" vertical="center"/>
    </xf>
    <xf numFmtId="0" fontId="0" fillId="7" borderId="56" xfId="49" applyNumberFormat="1" applyFont="1" applyFill="1" applyBorder="1" applyAlignment="1">
      <alignment horizontal="center" vertical="center"/>
    </xf>
    <xf numFmtId="176" fontId="0" fillId="7" borderId="56" xfId="49" applyNumberFormat="1" applyFont="1" applyFill="1" applyBorder="1" applyAlignment="1">
      <alignment horizontal="center" vertical="center"/>
    </xf>
    <xf numFmtId="38" fontId="2" fillId="7" borderId="56" xfId="49" applyFont="1" applyFill="1" applyBorder="1" applyAlignment="1">
      <alignment horizontal="left" vertical="center"/>
    </xf>
    <xf numFmtId="178" fontId="2" fillId="7" borderId="30" xfId="0" applyNumberFormat="1" applyFont="1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38" fontId="0" fillId="7" borderId="33" xfId="49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0" fontId="0" fillId="7" borderId="25" xfId="42" applyNumberFormat="1" applyFont="1" applyFill="1" applyBorder="1" applyAlignment="1">
      <alignment horizontal="center" vertical="center"/>
    </xf>
    <xf numFmtId="180" fontId="0" fillId="7" borderId="57" xfId="42" applyNumberFormat="1" applyFont="1" applyFill="1" applyBorder="1" applyAlignment="1">
      <alignment horizontal="center" vertical="center"/>
    </xf>
    <xf numFmtId="180" fontId="0" fillId="7" borderId="58" xfId="42" applyNumberFormat="1" applyFont="1" applyFill="1" applyBorder="1" applyAlignment="1">
      <alignment horizontal="center" vertical="center"/>
    </xf>
    <xf numFmtId="180" fontId="0" fillId="7" borderId="18" xfId="42" applyNumberFormat="1" applyFont="1" applyFill="1" applyBorder="1" applyAlignment="1">
      <alignment horizontal="center" vertical="center"/>
    </xf>
    <xf numFmtId="180" fontId="0" fillId="7" borderId="43" xfId="42" applyNumberFormat="1" applyFont="1" applyFill="1" applyBorder="1" applyAlignment="1">
      <alignment horizontal="center" vertical="center"/>
    </xf>
    <xf numFmtId="180" fontId="0" fillId="7" borderId="54" xfId="42" applyNumberFormat="1" applyFon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38" fontId="0" fillId="7" borderId="59" xfId="49" applyFont="1" applyFill="1" applyBorder="1" applyAlignment="1">
      <alignment horizontal="center" vertical="center"/>
    </xf>
    <xf numFmtId="38" fontId="0" fillId="7" borderId="60" xfId="49" applyFont="1" applyFill="1" applyBorder="1" applyAlignment="1">
      <alignment horizontal="center" vertical="center"/>
    </xf>
    <xf numFmtId="38" fontId="0" fillId="7" borderId="39" xfId="49" applyFont="1" applyFill="1" applyBorder="1" applyAlignment="1">
      <alignment horizontal="center" vertical="center"/>
    </xf>
    <xf numFmtId="38" fontId="0" fillId="7" borderId="61" xfId="49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left" vertical="top" wrapText="1"/>
    </xf>
    <xf numFmtId="38" fontId="0" fillId="0" borderId="45" xfId="49" applyFont="1" applyFill="1" applyBorder="1" applyAlignment="1">
      <alignment horizontal="left" vertical="top" wrapText="1"/>
    </xf>
    <xf numFmtId="38" fontId="0" fillId="0" borderId="47" xfId="49" applyFont="1" applyFill="1" applyBorder="1" applyAlignment="1">
      <alignment horizontal="left" vertical="top" wrapText="1"/>
    </xf>
    <xf numFmtId="38" fontId="0" fillId="7" borderId="62" xfId="49" applyFont="1" applyFill="1" applyBorder="1" applyAlignment="1">
      <alignment horizontal="center" vertical="center"/>
    </xf>
    <xf numFmtId="38" fontId="0" fillId="7" borderId="37" xfId="49" applyFont="1" applyFill="1" applyBorder="1" applyAlignment="1">
      <alignment horizontal="center" vertical="center"/>
    </xf>
    <xf numFmtId="38" fontId="0" fillId="7" borderId="63" xfId="49" applyFont="1" applyFill="1" applyBorder="1" applyAlignment="1">
      <alignment horizontal="center" vertical="center"/>
    </xf>
    <xf numFmtId="38" fontId="0" fillId="7" borderId="46" xfId="49" applyFont="1" applyFill="1" applyBorder="1" applyAlignment="1">
      <alignment horizontal="center" vertical="center"/>
    </xf>
    <xf numFmtId="38" fontId="0" fillId="7" borderId="0" xfId="0" applyNumberFormat="1" applyFill="1" applyBorder="1" applyAlignment="1">
      <alignment horizontal="center" vertical="center"/>
    </xf>
    <xf numFmtId="38" fontId="0" fillId="7" borderId="0" xfId="49" applyNumberFormat="1" applyFont="1" applyFill="1" applyBorder="1" applyAlignment="1">
      <alignment horizontal="center" vertical="center"/>
    </xf>
    <xf numFmtId="176" fontId="0" fillId="7" borderId="28" xfId="49" applyNumberFormat="1" applyFont="1" applyFill="1" applyBorder="1" applyAlignment="1">
      <alignment horizontal="center" vertical="center"/>
    </xf>
    <xf numFmtId="0" fontId="0" fillId="7" borderId="28" xfId="49" applyNumberFormat="1" applyFont="1" applyFill="1" applyBorder="1" applyAlignment="1">
      <alignment horizontal="center" vertical="center"/>
    </xf>
    <xf numFmtId="9" fontId="0" fillId="7" borderId="0" xfId="42" applyFont="1" applyFill="1" applyBorder="1" applyAlignment="1">
      <alignment horizontal="center" vertical="center"/>
    </xf>
    <xf numFmtId="0" fontId="0" fillId="7" borderId="0" xfId="49" applyNumberFormat="1" applyFont="1" applyFill="1" applyBorder="1" applyAlignment="1">
      <alignment horizontal="center" vertical="center"/>
    </xf>
    <xf numFmtId="38" fontId="0" fillId="7" borderId="0" xfId="49" applyFont="1" applyFill="1" applyBorder="1" applyAlignment="1">
      <alignment horizontal="center" vertical="center"/>
    </xf>
    <xf numFmtId="38" fontId="0" fillId="7" borderId="41" xfId="49" applyFont="1" applyFill="1" applyBorder="1" applyAlignment="1">
      <alignment horizontal="right" vertical="center"/>
    </xf>
    <xf numFmtId="38" fontId="0" fillId="7" borderId="34" xfId="49" applyFont="1" applyFill="1" applyBorder="1" applyAlignment="1">
      <alignment horizontal="right" vertical="center"/>
    </xf>
    <xf numFmtId="38" fontId="0" fillId="7" borderId="25" xfId="49" applyFont="1" applyFill="1" applyBorder="1" applyAlignment="1">
      <alignment horizontal="center" vertical="center"/>
    </xf>
    <xf numFmtId="38" fontId="0" fillId="7" borderId="18" xfId="49" applyFont="1" applyFill="1" applyBorder="1" applyAlignment="1">
      <alignment horizontal="center" vertical="center"/>
    </xf>
    <xf numFmtId="38" fontId="0" fillId="7" borderId="64" xfId="49" applyFont="1" applyFill="1" applyBorder="1" applyAlignment="1">
      <alignment horizontal="center" vertical="center"/>
    </xf>
    <xf numFmtId="38" fontId="0" fillId="0" borderId="41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43" xfId="49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33" borderId="65" xfId="0" applyNumberFormat="1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180" fontId="2" fillId="33" borderId="65" xfId="0" applyNumberFormat="1" applyFont="1" applyFill="1" applyBorder="1" applyAlignment="1">
      <alignment horizontal="center" vertical="center"/>
    </xf>
    <xf numFmtId="38" fontId="2" fillId="33" borderId="65" xfId="49" applyFont="1" applyFill="1" applyBorder="1" applyAlignment="1">
      <alignment horizontal="center" vertical="center"/>
    </xf>
    <xf numFmtId="38" fontId="2" fillId="33" borderId="67" xfId="49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55" xfId="0" applyFont="1" applyFill="1" applyBorder="1" applyAlignment="1">
      <alignment horizontal="left" vertical="center"/>
    </xf>
    <xf numFmtId="0" fontId="2" fillId="33" borderId="56" xfId="0" applyFont="1" applyFill="1" applyBorder="1" applyAlignment="1">
      <alignment horizontal="left" vertical="center"/>
    </xf>
    <xf numFmtId="0" fontId="2" fillId="33" borderId="68" xfId="0" applyFont="1" applyFill="1" applyBorder="1" applyAlignment="1">
      <alignment horizontal="left" vertical="center"/>
    </xf>
    <xf numFmtId="38" fontId="2" fillId="33" borderId="69" xfId="0" applyNumberFormat="1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38" fontId="2" fillId="0" borderId="18" xfId="49" applyFont="1" applyBorder="1" applyAlignment="1">
      <alignment horizontal="right" vertical="center"/>
    </xf>
    <xf numFmtId="38" fontId="2" fillId="0" borderId="64" xfId="49" applyFont="1" applyBorder="1" applyAlignment="1">
      <alignment horizontal="right" vertical="center"/>
    </xf>
    <xf numFmtId="38" fontId="2" fillId="0" borderId="41" xfId="49" applyFont="1" applyBorder="1" applyAlignment="1">
      <alignment horizontal="right" vertical="center"/>
    </xf>
    <xf numFmtId="38" fontId="2" fillId="0" borderId="37" xfId="49" applyFont="1" applyBorder="1" applyAlignment="1">
      <alignment horizontal="right" vertical="center"/>
    </xf>
    <xf numFmtId="0" fontId="2" fillId="33" borderId="72" xfId="0" applyFont="1" applyFill="1" applyBorder="1" applyAlignment="1">
      <alignment horizontal="left" vertical="center"/>
    </xf>
    <xf numFmtId="0" fontId="2" fillId="33" borderId="73" xfId="0" applyFont="1" applyFill="1" applyBorder="1" applyAlignment="1">
      <alignment horizontal="left" vertical="center"/>
    </xf>
    <xf numFmtId="0" fontId="2" fillId="33" borderId="7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2" fillId="33" borderId="64" xfId="0" applyFont="1" applyFill="1" applyBorder="1" applyAlignment="1">
      <alignment horizontal="left" vertical="center"/>
    </xf>
    <xf numFmtId="38" fontId="2" fillId="33" borderId="77" xfId="0" applyNumberFormat="1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199" fontId="2" fillId="0" borderId="25" xfId="49" applyNumberFormat="1" applyFont="1" applyBorder="1" applyAlignment="1">
      <alignment horizontal="right" vertical="center"/>
    </xf>
    <xf numFmtId="199" fontId="2" fillId="0" borderId="60" xfId="49" applyNumberFormat="1" applyFont="1" applyBorder="1" applyAlignment="1">
      <alignment horizontal="right" vertical="center"/>
    </xf>
    <xf numFmtId="177" fontId="2" fillId="33" borderId="13" xfId="0" applyNumberFormat="1" applyFont="1" applyFill="1" applyBorder="1" applyAlignment="1">
      <alignment horizontal="center" vertical="center" shrinkToFit="1"/>
    </xf>
    <xf numFmtId="177" fontId="2" fillId="33" borderId="76" xfId="0" applyNumberFormat="1" applyFont="1" applyFill="1" applyBorder="1" applyAlignment="1">
      <alignment horizontal="center" vertical="center" shrinkToFit="1"/>
    </xf>
    <xf numFmtId="38" fontId="2" fillId="0" borderId="79" xfId="49" applyFont="1" applyBorder="1" applyAlignment="1">
      <alignment horizontal="right" vertical="center"/>
    </xf>
    <xf numFmtId="38" fontId="2" fillId="0" borderId="80" xfId="49" applyFont="1" applyBorder="1" applyAlignment="1">
      <alignment horizontal="right" vertical="center"/>
    </xf>
    <xf numFmtId="38" fontId="2" fillId="33" borderId="10" xfId="49" applyFont="1" applyFill="1" applyBorder="1" applyAlignment="1">
      <alignment horizontal="right" vertical="center"/>
    </xf>
    <xf numFmtId="38" fontId="2" fillId="33" borderId="21" xfId="49" applyFont="1" applyFill="1" applyBorder="1" applyAlignment="1">
      <alignment horizontal="right" vertical="center"/>
    </xf>
    <xf numFmtId="38" fontId="2" fillId="33" borderId="81" xfId="49" applyFont="1" applyFill="1" applyBorder="1" applyAlignment="1">
      <alignment horizontal="right" vertical="center"/>
    </xf>
    <xf numFmtId="38" fontId="2" fillId="33" borderId="82" xfId="49" applyFont="1" applyFill="1" applyBorder="1" applyAlignment="1">
      <alignment horizontal="right" vertical="center"/>
    </xf>
    <xf numFmtId="199" fontId="2" fillId="0" borderId="72" xfId="49" applyNumberFormat="1" applyFont="1" applyBorder="1" applyAlignment="1">
      <alignment horizontal="right" vertical="center"/>
    </xf>
    <xf numFmtId="199" fontId="2" fillId="0" borderId="74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8" fontId="2" fillId="0" borderId="10" xfId="49" applyFont="1" applyBorder="1" applyAlignment="1">
      <alignment horizontal="right" vertical="center"/>
    </xf>
    <xf numFmtId="38" fontId="2" fillId="33" borderId="23" xfId="49" applyFont="1" applyFill="1" applyBorder="1" applyAlignment="1">
      <alignment horizontal="right" vertical="center"/>
    </xf>
    <xf numFmtId="38" fontId="2" fillId="33" borderId="11" xfId="49" applyFont="1" applyFill="1" applyBorder="1" applyAlignment="1">
      <alignment horizontal="right" vertical="center"/>
    </xf>
    <xf numFmtId="38" fontId="2" fillId="33" borderId="41" xfId="49" applyFont="1" applyFill="1" applyBorder="1" applyAlignment="1">
      <alignment horizontal="right" vertical="center"/>
    </xf>
    <xf numFmtId="38" fontId="2" fillId="33" borderId="37" xfId="49" applyFont="1" applyFill="1" applyBorder="1" applyAlignment="1">
      <alignment horizontal="right" vertical="center"/>
    </xf>
    <xf numFmtId="38" fontId="2" fillId="33" borderId="55" xfId="49" applyFont="1" applyFill="1" applyBorder="1" applyAlignment="1">
      <alignment horizontal="right" vertical="center"/>
    </xf>
    <xf numFmtId="38" fontId="2" fillId="33" borderId="68" xfId="49" applyFont="1" applyFill="1" applyBorder="1" applyAlignment="1">
      <alignment horizontal="right" vertical="center"/>
    </xf>
    <xf numFmtId="38" fontId="2" fillId="33" borderId="67" xfId="0" applyNumberFormat="1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38" fontId="5" fillId="0" borderId="0" xfId="49" applyFont="1" applyFill="1" applyAlignment="1">
      <alignment horizontal="left" vertical="center"/>
    </xf>
    <xf numFmtId="38" fontId="2" fillId="0" borderId="17" xfId="49" applyFont="1" applyBorder="1" applyAlignment="1">
      <alignment horizontal="right" vertical="center"/>
    </xf>
    <xf numFmtId="38" fontId="2" fillId="0" borderId="84" xfId="49" applyFont="1" applyBorder="1" applyAlignment="1">
      <alignment horizontal="righ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57" xfId="0" applyFont="1" applyFill="1" applyBorder="1" applyAlignment="1">
      <alignment horizontal="left" vertical="center"/>
    </xf>
    <xf numFmtId="0" fontId="2" fillId="33" borderId="6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86" xfId="0" applyFont="1" applyFill="1" applyBorder="1" applyAlignment="1">
      <alignment horizontal="left" vertical="center"/>
    </xf>
    <xf numFmtId="0" fontId="2" fillId="33" borderId="84" xfId="0" applyFont="1" applyFill="1" applyBorder="1" applyAlignment="1">
      <alignment horizontal="left" vertical="center"/>
    </xf>
    <xf numFmtId="38" fontId="2" fillId="33" borderId="18" xfId="49" applyFont="1" applyFill="1" applyBorder="1" applyAlignment="1">
      <alignment horizontal="right" vertical="center"/>
    </xf>
    <xf numFmtId="38" fontId="2" fillId="33" borderId="64" xfId="49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199" fontId="2" fillId="0" borderId="10" xfId="49" applyNumberFormat="1" applyFont="1" applyBorder="1" applyAlignment="1">
      <alignment horizontal="right" vertical="center"/>
    </xf>
    <xf numFmtId="40" fontId="2" fillId="0" borderId="10" xfId="49" applyNumberFormat="1" applyFont="1" applyBorder="1" applyAlignment="1">
      <alignment horizontal="right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38" fontId="2" fillId="33" borderId="28" xfId="49" applyFont="1" applyFill="1" applyBorder="1" applyAlignment="1">
      <alignment horizontal="center" vertical="center"/>
    </xf>
    <xf numFmtId="38" fontId="2" fillId="33" borderId="11" xfId="49" applyFont="1" applyFill="1" applyBorder="1" applyAlignment="1">
      <alignment horizontal="center" vertical="center"/>
    </xf>
    <xf numFmtId="182" fontId="2" fillId="33" borderId="28" xfId="49" applyNumberFormat="1" applyFont="1" applyFill="1" applyBorder="1" applyAlignment="1">
      <alignment horizontal="center" vertical="center"/>
    </xf>
    <xf numFmtId="182" fontId="2" fillId="33" borderId="11" xfId="49" applyNumberFormat="1" applyFont="1" applyFill="1" applyBorder="1" applyAlignment="1">
      <alignment horizontal="center" vertical="center"/>
    </xf>
    <xf numFmtId="38" fontId="2" fillId="33" borderId="29" xfId="49" applyFont="1" applyFill="1" applyBorder="1" applyAlignment="1" quotePrefix="1">
      <alignment horizontal="center" vertical="center"/>
    </xf>
    <xf numFmtId="38" fontId="2" fillId="33" borderId="30" xfId="49" applyFont="1" applyFill="1" applyBorder="1" applyAlignment="1">
      <alignment horizontal="center" vertical="center"/>
    </xf>
    <xf numFmtId="38" fontId="2" fillId="33" borderId="23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8" fontId="2" fillId="33" borderId="11" xfId="0" applyNumberFormat="1" applyFont="1" applyFill="1" applyBorder="1" applyAlignment="1">
      <alignment horizontal="center" vertical="center"/>
    </xf>
    <xf numFmtId="181" fontId="2" fillId="33" borderId="28" xfId="49" applyNumberFormat="1" applyFont="1" applyFill="1" applyBorder="1" applyAlignment="1">
      <alignment horizontal="center" vertical="center"/>
    </xf>
    <xf numFmtId="181" fontId="2" fillId="33" borderId="11" xfId="49" applyNumberFormat="1" applyFont="1" applyFill="1" applyBorder="1" applyAlignment="1">
      <alignment horizontal="center" vertical="center"/>
    </xf>
    <xf numFmtId="38" fontId="2" fillId="33" borderId="28" xfId="49" applyFont="1" applyFill="1" applyBorder="1" applyAlignment="1" quotePrefix="1">
      <alignment horizontal="center" vertical="center"/>
    </xf>
    <xf numFmtId="38" fontId="2" fillId="33" borderId="24" xfId="49" applyFont="1" applyFill="1" applyBorder="1" applyAlignment="1">
      <alignment horizontal="right" vertical="center"/>
    </xf>
    <xf numFmtId="38" fontId="2" fillId="33" borderId="88" xfId="49" applyFont="1" applyFill="1" applyBorder="1" applyAlignment="1">
      <alignment horizontal="right" vertical="center"/>
    </xf>
    <xf numFmtId="38" fontId="2" fillId="33" borderId="89" xfId="49" applyFont="1" applyFill="1" applyBorder="1" applyAlignment="1">
      <alignment horizontal="right" vertical="center"/>
    </xf>
    <xf numFmtId="0" fontId="2" fillId="33" borderId="59" xfId="0" applyFont="1" applyFill="1" applyBorder="1" applyAlignment="1">
      <alignment horizontal="center" vertical="center" shrinkToFit="1"/>
    </xf>
    <xf numFmtId="0" fontId="2" fillId="33" borderId="60" xfId="0" applyFont="1" applyFill="1" applyBorder="1" applyAlignment="1">
      <alignment horizontal="center" vertical="center" shrinkToFit="1"/>
    </xf>
    <xf numFmtId="0" fontId="2" fillId="33" borderId="90" xfId="0" applyFont="1" applyFill="1" applyBorder="1" applyAlignment="1">
      <alignment horizontal="center" vertical="center" shrinkToFit="1"/>
    </xf>
    <xf numFmtId="0" fontId="2" fillId="33" borderId="64" xfId="0" applyFont="1" applyFill="1" applyBorder="1" applyAlignment="1">
      <alignment horizontal="center" vertical="center" shrinkToFit="1"/>
    </xf>
    <xf numFmtId="38" fontId="2" fillId="33" borderId="10" xfId="49" applyNumberFormat="1" applyFont="1" applyFill="1" applyBorder="1" applyAlignment="1">
      <alignment horizontal="right" vertical="center"/>
    </xf>
    <xf numFmtId="38" fontId="2" fillId="33" borderId="24" xfId="49" applyFont="1" applyFill="1" applyBorder="1" applyAlignment="1">
      <alignment horizontal="center" vertical="center"/>
    </xf>
    <xf numFmtId="38" fontId="2" fillId="33" borderId="19" xfId="49" applyFont="1" applyFill="1" applyBorder="1" applyAlignment="1">
      <alignment horizontal="center" vertical="center"/>
    </xf>
    <xf numFmtId="38" fontId="2" fillId="33" borderId="52" xfId="49" applyFont="1" applyFill="1" applyBorder="1" applyAlignment="1">
      <alignment horizontal="right" vertical="center"/>
    </xf>
    <xf numFmtId="38" fontId="2" fillId="0" borderId="24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2" fillId="33" borderId="31" xfId="49" applyFont="1" applyFill="1" applyBorder="1" applyAlignment="1">
      <alignment horizontal="center" vertical="center"/>
    </xf>
    <xf numFmtId="38" fontId="2" fillId="33" borderId="39" xfId="49" applyFont="1" applyFill="1" applyBorder="1" applyAlignment="1">
      <alignment horizontal="center" vertical="center"/>
    </xf>
    <xf numFmtId="38" fontId="2" fillId="33" borderId="34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38" fontId="2" fillId="33" borderId="41" xfId="0" applyNumberFormat="1" applyFont="1" applyFill="1" applyBorder="1" applyAlignment="1">
      <alignment horizontal="center" vertical="center"/>
    </xf>
    <xf numFmtId="38" fontId="2" fillId="33" borderId="19" xfId="49" applyFont="1" applyFill="1" applyBorder="1" applyAlignment="1">
      <alignment horizontal="right" vertical="center"/>
    </xf>
    <xf numFmtId="0" fontId="2" fillId="33" borderId="63" xfId="0" applyFont="1" applyFill="1" applyBorder="1" applyAlignment="1">
      <alignment horizontal="center" vertical="center" shrinkToFit="1"/>
    </xf>
    <xf numFmtId="0" fontId="2" fillId="33" borderId="47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63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 shrinkToFit="1"/>
    </xf>
    <xf numFmtId="0" fontId="2" fillId="33" borderId="39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93" xfId="0" applyFont="1" applyFill="1" applyBorder="1" applyAlignment="1">
      <alignment horizontal="center" vertical="center"/>
    </xf>
    <xf numFmtId="0" fontId="2" fillId="33" borderId="9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95" xfId="0" applyFont="1" applyFill="1" applyBorder="1" applyAlignment="1">
      <alignment horizontal="center" vertical="center"/>
    </xf>
    <xf numFmtId="0" fontId="2" fillId="33" borderId="9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16</xdr:row>
      <xdr:rowOff>28575</xdr:rowOff>
    </xdr:from>
    <xdr:to>
      <xdr:col>19</xdr:col>
      <xdr:colOff>209550</xdr:colOff>
      <xdr:row>18</xdr:row>
      <xdr:rowOff>142875</xdr:rowOff>
    </xdr:to>
    <xdr:sp>
      <xdr:nvSpPr>
        <xdr:cNvPr id="1" name="AutoShape 11"/>
        <xdr:cNvSpPr>
          <a:spLocks/>
        </xdr:cNvSpPr>
      </xdr:nvSpPr>
      <xdr:spPr>
        <a:xfrm>
          <a:off x="10820400" y="2676525"/>
          <a:ext cx="7620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37</xdr:row>
      <xdr:rowOff>28575</xdr:rowOff>
    </xdr:from>
    <xdr:to>
      <xdr:col>19</xdr:col>
      <xdr:colOff>209550</xdr:colOff>
      <xdr:row>39</xdr:row>
      <xdr:rowOff>142875</xdr:rowOff>
    </xdr:to>
    <xdr:sp>
      <xdr:nvSpPr>
        <xdr:cNvPr id="2" name="AutoShape 13"/>
        <xdr:cNvSpPr>
          <a:spLocks/>
        </xdr:cNvSpPr>
      </xdr:nvSpPr>
      <xdr:spPr>
        <a:xfrm>
          <a:off x="10820400" y="5962650"/>
          <a:ext cx="7620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showZeros="0"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9.625" style="0" customWidth="1"/>
    <col min="2" max="2" width="10.625" style="0" customWidth="1"/>
    <col min="3" max="4" width="7.625" style="0" customWidth="1"/>
    <col min="5" max="5" width="6.625" style="0" customWidth="1"/>
    <col min="6" max="7" width="7.625" style="0" customWidth="1"/>
    <col min="8" max="10" width="6.625" style="0" customWidth="1"/>
    <col min="11" max="11" width="10.00390625" style="0" customWidth="1"/>
    <col min="12" max="12" width="6.625" style="0" customWidth="1"/>
  </cols>
  <sheetData>
    <row r="1" ht="14.25" thickBot="1"/>
    <row r="2" spans="1:11" ht="13.5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13.5">
      <c r="A3" s="40"/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3.5">
      <c r="A4" s="40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21" customHeight="1">
      <c r="A5" s="145" t="s">
        <v>94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1" ht="21" customHeight="1">
      <c r="A6" s="148"/>
      <c r="B6" s="146"/>
      <c r="C6" s="146"/>
      <c r="D6" s="146"/>
      <c r="E6" s="146"/>
      <c r="F6" s="146"/>
      <c r="G6" s="146"/>
      <c r="H6" s="146"/>
      <c r="I6" s="146"/>
      <c r="J6" s="146"/>
      <c r="K6" s="147"/>
    </row>
    <row r="7" spans="1:11" ht="21" customHeight="1">
      <c r="A7" s="148"/>
      <c r="B7" s="146"/>
      <c r="C7" s="146"/>
      <c r="D7" s="146"/>
      <c r="E7" s="146"/>
      <c r="F7" s="146"/>
      <c r="G7" s="146"/>
      <c r="H7" s="146"/>
      <c r="I7" s="146"/>
      <c r="J7" s="146"/>
      <c r="K7" s="147"/>
    </row>
    <row r="8" spans="1:11" ht="13.5">
      <c r="A8" s="40"/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ht="13.5">
      <c r="A9" s="40"/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ht="13.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1" ht="14.25" thickBo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11" ht="39" customHeight="1">
      <c r="A12" s="166" t="s">
        <v>54</v>
      </c>
      <c r="B12" s="167"/>
      <c r="C12" s="161" t="s">
        <v>109</v>
      </c>
      <c r="D12" s="162"/>
      <c r="E12" s="162"/>
      <c r="F12" s="162"/>
      <c r="G12" s="162"/>
      <c r="H12" s="162"/>
      <c r="I12" s="162"/>
      <c r="J12" s="162"/>
      <c r="K12" s="163"/>
    </row>
    <row r="13" spans="1:12" ht="21" customHeight="1">
      <c r="A13" s="164" t="s">
        <v>73</v>
      </c>
      <c r="B13" s="165"/>
      <c r="C13" s="180">
        <v>52900000</v>
      </c>
      <c r="D13" s="181"/>
      <c r="E13" s="181"/>
      <c r="F13" s="43" t="s">
        <v>31</v>
      </c>
      <c r="G13" s="177" t="s">
        <v>23</v>
      </c>
      <c r="H13" s="158"/>
      <c r="I13" s="149">
        <f>ROUND(C14/C13,1)</f>
        <v>0.9</v>
      </c>
      <c r="J13" s="150"/>
      <c r="K13" s="151"/>
      <c r="L13" s="41"/>
    </row>
    <row r="14" spans="1:12" ht="21" customHeight="1">
      <c r="A14" s="164" t="s">
        <v>74</v>
      </c>
      <c r="B14" s="165"/>
      <c r="C14" s="180">
        <v>47598000</v>
      </c>
      <c r="D14" s="181"/>
      <c r="E14" s="181"/>
      <c r="F14" s="43" t="s">
        <v>31</v>
      </c>
      <c r="G14" s="178"/>
      <c r="H14" s="179"/>
      <c r="I14" s="152"/>
      <c r="J14" s="153"/>
      <c r="K14" s="154"/>
      <c r="L14" s="41"/>
    </row>
    <row r="15" spans="1:12" ht="21" customHeight="1">
      <c r="A15" s="164" t="s">
        <v>76</v>
      </c>
      <c r="B15" s="165"/>
      <c r="C15" s="180">
        <v>50000000</v>
      </c>
      <c r="D15" s="181"/>
      <c r="E15" s="181"/>
      <c r="F15" s="43" t="s">
        <v>31</v>
      </c>
      <c r="G15" s="123" t="s">
        <v>75</v>
      </c>
      <c r="H15" s="124"/>
      <c r="I15" s="125"/>
      <c r="J15" s="126"/>
      <c r="K15" s="127"/>
      <c r="L15" s="41"/>
    </row>
    <row r="16" spans="1:12" ht="21" customHeight="1">
      <c r="A16" s="164" t="s">
        <v>77</v>
      </c>
      <c r="B16" s="165"/>
      <c r="C16" s="182">
        <v>0</v>
      </c>
      <c r="D16" s="183"/>
      <c r="E16" s="183"/>
      <c r="F16" s="87" t="s">
        <v>31</v>
      </c>
      <c r="G16" s="128" t="s">
        <v>82</v>
      </c>
      <c r="H16" s="116"/>
      <c r="I16" s="129"/>
      <c r="J16" s="130"/>
      <c r="K16" s="131"/>
      <c r="L16" s="41"/>
    </row>
    <row r="17" spans="1:12" ht="21" customHeight="1">
      <c r="A17" s="164" t="s">
        <v>78</v>
      </c>
      <c r="B17" s="165"/>
      <c r="C17" s="175">
        <f>C15-C16</f>
        <v>50000000</v>
      </c>
      <c r="D17" s="176"/>
      <c r="E17" s="176"/>
      <c r="F17" s="125" t="s">
        <v>31</v>
      </c>
      <c r="G17" s="125" t="s">
        <v>31</v>
      </c>
      <c r="H17" s="132"/>
      <c r="I17" s="125"/>
      <c r="J17" s="130"/>
      <c r="K17" s="131"/>
      <c r="L17" s="41"/>
    </row>
    <row r="18" spans="1:11" ht="21" customHeight="1">
      <c r="A18" s="157" t="s">
        <v>55</v>
      </c>
      <c r="B18" s="158"/>
      <c r="C18" s="133" t="s">
        <v>107</v>
      </c>
      <c r="D18" s="134">
        <v>1</v>
      </c>
      <c r="E18" s="135" t="s">
        <v>32</v>
      </c>
      <c r="F18" s="134">
        <v>10</v>
      </c>
      <c r="G18" s="135" t="s">
        <v>33</v>
      </c>
      <c r="H18" s="134">
        <v>28</v>
      </c>
      <c r="I18" s="135" t="s">
        <v>34</v>
      </c>
      <c r="J18" s="136" t="s">
        <v>44</v>
      </c>
      <c r="K18" s="137">
        <f>IF(DATEDIF("H"&amp;D18&amp;"."&amp;F18&amp;"."&amp;1,"H"&amp;D19&amp;"."&amp;F19&amp;"."&amp;1,"M")=0,1,DATEDIF("H"&amp;D18&amp;"."&amp;F18&amp;"."&amp;1,"H"&amp;D19&amp;"."&amp;F19&amp;"."&amp;1,"M")+1)</f>
        <v>12</v>
      </c>
    </row>
    <row r="19" spans="1:11" ht="21" customHeight="1" thickBot="1">
      <c r="A19" s="159"/>
      <c r="B19" s="160"/>
      <c r="C19" s="138" t="s">
        <v>108</v>
      </c>
      <c r="D19" s="139">
        <v>2</v>
      </c>
      <c r="E19" s="140" t="s">
        <v>32</v>
      </c>
      <c r="F19" s="139">
        <v>9</v>
      </c>
      <c r="G19" s="140" t="s">
        <v>33</v>
      </c>
      <c r="H19" s="139">
        <v>30</v>
      </c>
      <c r="I19" s="140" t="s">
        <v>34</v>
      </c>
      <c r="J19" s="141"/>
      <c r="K19" s="142"/>
    </row>
    <row r="20" spans="1:11" ht="21" customHeight="1">
      <c r="A20" s="105"/>
      <c r="B20" s="106"/>
      <c r="C20" s="170" t="s">
        <v>83</v>
      </c>
      <c r="D20" s="170"/>
      <c r="E20" s="107"/>
      <c r="F20" s="171" t="s">
        <v>84</v>
      </c>
      <c r="G20" s="171"/>
      <c r="H20" s="108"/>
      <c r="I20" s="107"/>
      <c r="J20" s="109"/>
      <c r="K20" s="110"/>
    </row>
    <row r="21" spans="1:11" ht="27" customHeight="1">
      <c r="A21" s="155" t="s">
        <v>79</v>
      </c>
      <c r="B21" s="156"/>
      <c r="C21" s="174">
        <f>IF(OR(ISERROR('鋼材スライド額'!L38),ISTEXT('鋼材スライド額'!L38)),0,'鋼材スライド額'!L38)</f>
        <v>942840</v>
      </c>
      <c r="D21" s="174"/>
      <c r="E21" s="111" t="str">
        <f>IF(C21&gt;ROUNDDOWN($C$17*0.01,0),"＞","＜")</f>
        <v>＞</v>
      </c>
      <c r="F21" s="168">
        <f>IF(C21=0,0,$C$17*0.01)</f>
        <v>500000</v>
      </c>
      <c r="G21" s="168"/>
      <c r="H21" s="172" t="str">
        <f>IF(E21="＞","・・・スライド対象","・・・スライド対象外")</f>
        <v>・・・スライド対象</v>
      </c>
      <c r="I21" s="172"/>
      <c r="J21" s="172"/>
      <c r="K21" s="112"/>
    </row>
    <row r="22" spans="1:11" ht="27" customHeight="1">
      <c r="A22" s="113"/>
      <c r="B22" s="111"/>
      <c r="C22" s="168" t="s">
        <v>85</v>
      </c>
      <c r="D22" s="168"/>
      <c r="E22" s="111"/>
      <c r="F22" s="173" t="s">
        <v>84</v>
      </c>
      <c r="G22" s="173"/>
      <c r="H22" s="111"/>
      <c r="I22" s="114"/>
      <c r="J22" s="114"/>
      <c r="K22" s="112"/>
    </row>
    <row r="23" spans="1:11" ht="27" customHeight="1">
      <c r="A23" s="155" t="s">
        <v>80</v>
      </c>
      <c r="B23" s="156"/>
      <c r="C23" s="174">
        <f>IF(OR(ISERROR('燃料スライド額'!I52),ISTEXT('燃料スライド額'!I52)),0,'燃料スライド額'!I52)</f>
        <v>1493964</v>
      </c>
      <c r="D23" s="174"/>
      <c r="E23" s="111" t="str">
        <f>IF(C23&gt;ROUNDDOWN($C$17*0.01,0),"＞","＜")</f>
        <v>＞</v>
      </c>
      <c r="F23" s="168">
        <f>IF(C23=0,0,$C$17*0.01)</f>
        <v>500000</v>
      </c>
      <c r="G23" s="168"/>
      <c r="H23" s="172" t="str">
        <f>IF(E23="＞","・・・スライド対象","・・・スライド対象外")</f>
        <v>・・・スライド対象</v>
      </c>
      <c r="I23" s="172"/>
      <c r="J23" s="172"/>
      <c r="K23" s="112"/>
    </row>
    <row r="24" spans="1:11" ht="27" customHeight="1">
      <c r="A24" s="113"/>
      <c r="B24" s="111"/>
      <c r="C24" s="168" t="s">
        <v>106</v>
      </c>
      <c r="D24" s="168"/>
      <c r="E24" s="111"/>
      <c r="F24" s="173" t="s">
        <v>84</v>
      </c>
      <c r="G24" s="173"/>
      <c r="H24" s="114"/>
      <c r="I24" s="114"/>
      <c r="J24" s="114"/>
      <c r="K24" s="112"/>
    </row>
    <row r="25" spans="1:11" ht="27" customHeight="1">
      <c r="A25" s="155" t="s">
        <v>105</v>
      </c>
      <c r="B25" s="156"/>
      <c r="C25" s="174">
        <f>IF(OR(ISERROR('資材スライド額'!L38),ISTEXT('資材スライド額'!L38)),0,'資材スライド額'!L38)</f>
        <v>716040</v>
      </c>
      <c r="D25" s="174"/>
      <c r="E25" s="111" t="str">
        <f>IF(C25&gt;ROUNDDOWN($C$17*0.01,0),"＞","＜")</f>
        <v>＞</v>
      </c>
      <c r="F25" s="168">
        <f>IF(C25=0,0,$C$17*0.01)</f>
        <v>500000</v>
      </c>
      <c r="G25" s="168"/>
      <c r="H25" s="172" t="str">
        <f>IF(E25="＞","・・・スライド対象","・・・スライド対象外")</f>
        <v>・・・スライド対象</v>
      </c>
      <c r="I25" s="172"/>
      <c r="J25" s="172"/>
      <c r="K25" s="112"/>
    </row>
    <row r="26" spans="1:11" ht="27" customHeight="1">
      <c r="A26" s="113"/>
      <c r="B26" s="111"/>
      <c r="C26" s="115"/>
      <c r="D26" s="115"/>
      <c r="E26" s="111"/>
      <c r="F26" s="115"/>
      <c r="G26" s="115"/>
      <c r="H26" s="114"/>
      <c r="I26" s="114"/>
      <c r="J26" s="114"/>
      <c r="K26" s="112"/>
    </row>
    <row r="27" spans="1:11" ht="27" customHeight="1">
      <c r="A27" s="155" t="s">
        <v>71</v>
      </c>
      <c r="B27" s="156"/>
      <c r="C27" s="116" t="s">
        <v>104</v>
      </c>
      <c r="D27" s="116"/>
      <c r="E27" s="116"/>
      <c r="F27" s="116"/>
      <c r="G27" s="116"/>
      <c r="H27" s="116"/>
      <c r="I27" s="116"/>
      <c r="J27" s="116"/>
      <c r="K27" s="112"/>
    </row>
    <row r="28" spans="1:11" ht="27" customHeight="1">
      <c r="A28" s="113"/>
      <c r="B28" s="111"/>
      <c r="C28" s="116"/>
      <c r="D28" s="116"/>
      <c r="E28" s="116"/>
      <c r="F28" s="116"/>
      <c r="G28" s="116"/>
      <c r="H28" s="116"/>
      <c r="I28" s="116"/>
      <c r="J28" s="116"/>
      <c r="K28" s="112"/>
    </row>
    <row r="29" spans="1:11" ht="27" customHeight="1">
      <c r="A29" s="117" t="s">
        <v>72</v>
      </c>
      <c r="B29" s="118"/>
      <c r="C29" s="168">
        <f>IF(E21="＞",C21,0)</f>
        <v>942840</v>
      </c>
      <c r="D29" s="168"/>
      <c r="E29" s="111" t="s">
        <v>59</v>
      </c>
      <c r="F29" s="168">
        <f>IF(E23="＞",C23,0)</f>
        <v>1493964</v>
      </c>
      <c r="G29" s="168"/>
      <c r="H29" s="143" t="s">
        <v>59</v>
      </c>
      <c r="I29" s="174">
        <f>IF(E25="＞",C25,0)</f>
        <v>716040</v>
      </c>
      <c r="J29" s="174"/>
      <c r="K29" s="144"/>
    </row>
    <row r="30" spans="1:11" ht="27" customHeight="1">
      <c r="A30" s="119"/>
      <c r="B30" s="116"/>
      <c r="C30" s="111" t="s">
        <v>81</v>
      </c>
      <c r="D30" s="168">
        <f>IF(C29+F29=0,0,C17)</f>
        <v>50000000</v>
      </c>
      <c r="E30" s="168"/>
      <c r="F30" s="111" t="s">
        <v>68</v>
      </c>
      <c r="G30" s="118"/>
      <c r="H30" s="116"/>
      <c r="I30" s="116"/>
      <c r="J30" s="116"/>
      <c r="K30" s="112"/>
    </row>
    <row r="31" spans="1:11" ht="13.5">
      <c r="A31" s="117" t="s">
        <v>72</v>
      </c>
      <c r="B31" s="116"/>
      <c r="C31" s="169">
        <f>ROUNDDOWN(C29+F29+I29-D30*0.01,0)</f>
        <v>2652844</v>
      </c>
      <c r="D31" s="169"/>
      <c r="E31" s="111" t="s">
        <v>31</v>
      </c>
      <c r="F31" s="116"/>
      <c r="G31" s="116"/>
      <c r="H31" s="116"/>
      <c r="I31" s="116"/>
      <c r="J31" s="116"/>
      <c r="K31" s="112"/>
    </row>
    <row r="32" spans="1:11" ht="13.5">
      <c r="A32" s="119"/>
      <c r="B32" s="116"/>
      <c r="C32" s="116"/>
      <c r="D32" s="116"/>
      <c r="E32" s="116"/>
      <c r="F32" s="116"/>
      <c r="G32" s="116"/>
      <c r="H32" s="116"/>
      <c r="I32" s="116"/>
      <c r="J32" s="116"/>
      <c r="K32" s="112"/>
    </row>
    <row r="33" spans="1:11" ht="13.5">
      <c r="A33" s="119"/>
      <c r="B33" s="116"/>
      <c r="C33" s="116"/>
      <c r="D33" s="116"/>
      <c r="E33" s="116"/>
      <c r="F33" s="116"/>
      <c r="G33" s="116"/>
      <c r="H33" s="116"/>
      <c r="I33" s="116"/>
      <c r="J33" s="116"/>
      <c r="K33" s="112"/>
    </row>
    <row r="34" spans="1:11" ht="13.5">
      <c r="A34" s="119"/>
      <c r="B34" s="116"/>
      <c r="C34" s="116"/>
      <c r="D34" s="116"/>
      <c r="E34" s="116"/>
      <c r="F34" s="116"/>
      <c r="G34" s="116"/>
      <c r="H34" s="116"/>
      <c r="I34" s="116"/>
      <c r="J34" s="116"/>
      <c r="K34" s="112"/>
    </row>
    <row r="35" spans="1:11" ht="14.25" thickBo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2"/>
    </row>
  </sheetData>
  <sheetProtection/>
  <mergeCells count="40">
    <mergeCell ref="I29:J29"/>
    <mergeCell ref="F25:G25"/>
    <mergeCell ref="H25:J25"/>
    <mergeCell ref="C17:E17"/>
    <mergeCell ref="G13:H14"/>
    <mergeCell ref="C21:D21"/>
    <mergeCell ref="C13:E13"/>
    <mergeCell ref="C14:E14"/>
    <mergeCell ref="C15:E15"/>
    <mergeCell ref="C16:E16"/>
    <mergeCell ref="F29:G29"/>
    <mergeCell ref="C22:D22"/>
    <mergeCell ref="F22:G22"/>
    <mergeCell ref="A23:B23"/>
    <mergeCell ref="C23:D23"/>
    <mergeCell ref="F23:G23"/>
    <mergeCell ref="A25:B25"/>
    <mergeCell ref="C24:D24"/>
    <mergeCell ref="F24:G24"/>
    <mergeCell ref="C25:D25"/>
    <mergeCell ref="A14:B14"/>
    <mergeCell ref="D30:E30"/>
    <mergeCell ref="C31:D31"/>
    <mergeCell ref="C20:D20"/>
    <mergeCell ref="F20:G20"/>
    <mergeCell ref="H21:J21"/>
    <mergeCell ref="H23:J23"/>
    <mergeCell ref="F21:G21"/>
    <mergeCell ref="A21:B21"/>
    <mergeCell ref="C29:D29"/>
    <mergeCell ref="A5:K7"/>
    <mergeCell ref="I13:K14"/>
    <mergeCell ref="A27:B27"/>
    <mergeCell ref="A18:B19"/>
    <mergeCell ref="C12:K12"/>
    <mergeCell ref="A15:B15"/>
    <mergeCell ref="A16:B16"/>
    <mergeCell ref="A17:B17"/>
    <mergeCell ref="A12:B12"/>
    <mergeCell ref="A13:B13"/>
  </mergeCells>
  <printOptions horizontalCentered="1" verticalCentered="1"/>
  <pageMargins left="0.984251968503937" right="0.7874015748031497" top="0.984251968503937" bottom="0.984251968503937" header="0.5118110236220472" footer="0.5118110236220472"/>
  <pageSetup blackAndWhite="1" errors="blank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showZeros="0" zoomScalePageLayoutView="0" workbookViewId="0" topLeftCell="A26">
      <selection activeCell="L38" sqref="L38:M38"/>
    </sheetView>
  </sheetViews>
  <sheetFormatPr defaultColWidth="9.00390625" defaultRowHeight="13.5"/>
  <cols>
    <col min="1" max="1" width="14.625" style="1" customWidth="1"/>
    <col min="2" max="9" width="4.125" style="1" customWidth="1"/>
    <col min="10" max="20" width="7.625" style="1" customWidth="1"/>
    <col min="21" max="21" width="9.625" style="1" customWidth="1"/>
    <col min="22" max="16384" width="9.00390625" style="1" customWidth="1"/>
  </cols>
  <sheetData>
    <row r="1" spans="1:12" s="4" customFormat="1" ht="18" customHeight="1">
      <c r="A1" s="240" t="s">
        <v>97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4" t="s">
        <v>43</v>
      </c>
    </row>
    <row r="2" spans="13:19" s="4" customFormat="1" ht="15" customHeight="1" thickBot="1">
      <c r="M2" s="1"/>
      <c r="N2" s="1"/>
      <c r="O2" s="1"/>
      <c r="P2" s="1"/>
      <c r="Q2" s="1"/>
      <c r="R2" s="1"/>
      <c r="S2" s="1"/>
    </row>
    <row r="3" spans="1:20" s="4" customFormat="1" ht="27" customHeight="1">
      <c r="A3" s="246" t="s">
        <v>69</v>
      </c>
      <c r="B3" s="247"/>
      <c r="C3" s="259" t="s">
        <v>86</v>
      </c>
      <c r="D3" s="260"/>
      <c r="E3" s="260"/>
      <c r="F3" s="259" t="s">
        <v>30</v>
      </c>
      <c r="G3" s="260"/>
      <c r="H3" s="260"/>
      <c r="I3" s="261" t="s">
        <v>70</v>
      </c>
      <c r="J3" s="262"/>
      <c r="K3" s="78"/>
      <c r="M3" s="185"/>
      <c r="N3" s="185"/>
      <c r="O3" s="185"/>
      <c r="P3" s="185"/>
      <c r="Q3" s="185"/>
      <c r="R3" s="185"/>
      <c r="S3" s="185"/>
      <c r="T3" s="185"/>
    </row>
    <row r="4" spans="1:20" s="4" customFormat="1" ht="13.5" customHeight="1">
      <c r="A4" s="248" t="s">
        <v>88</v>
      </c>
      <c r="B4" s="249"/>
      <c r="C4" s="257">
        <v>100</v>
      </c>
      <c r="D4" s="257"/>
      <c r="E4" s="257"/>
      <c r="F4" s="230">
        <v>70000</v>
      </c>
      <c r="G4" s="230"/>
      <c r="H4" s="230"/>
      <c r="I4" s="223">
        <f>ROUNDDOWN(C4*F4,0)</f>
        <v>7000000</v>
      </c>
      <c r="J4" s="224"/>
      <c r="K4" s="79"/>
      <c r="M4" s="185"/>
      <c r="N4" s="185"/>
      <c r="O4" s="216"/>
      <c r="P4" s="216"/>
      <c r="Q4" s="216"/>
      <c r="R4" s="216"/>
      <c r="S4" s="216"/>
      <c r="T4" s="216"/>
    </row>
    <row r="5" spans="1:20" s="4" customFormat="1" ht="13.5" customHeight="1">
      <c r="A5" s="248"/>
      <c r="B5" s="249"/>
      <c r="C5" s="257"/>
      <c r="D5" s="257"/>
      <c r="E5" s="257"/>
      <c r="F5" s="230"/>
      <c r="G5" s="230"/>
      <c r="H5" s="230"/>
      <c r="I5" s="223">
        <f>ROUNDDOWN(C5*F5,0)</f>
        <v>0</v>
      </c>
      <c r="J5" s="224"/>
      <c r="K5" s="79"/>
      <c r="M5" s="185"/>
      <c r="N5" s="185"/>
      <c r="O5" s="216"/>
      <c r="P5" s="216"/>
      <c r="Q5" s="216"/>
      <c r="R5" s="216"/>
      <c r="S5" s="216"/>
      <c r="T5" s="216"/>
    </row>
    <row r="6" spans="1:20" s="4" customFormat="1" ht="13.5" customHeight="1">
      <c r="A6" s="248"/>
      <c r="B6" s="249"/>
      <c r="C6" s="257"/>
      <c r="D6" s="257"/>
      <c r="E6" s="257"/>
      <c r="F6" s="230"/>
      <c r="G6" s="230"/>
      <c r="H6" s="230"/>
      <c r="I6" s="223">
        <f>ROUNDDOWN(C6*F6,0)</f>
        <v>0</v>
      </c>
      <c r="J6" s="224"/>
      <c r="K6" s="30"/>
      <c r="M6" s="185"/>
      <c r="N6" s="185"/>
      <c r="O6" s="216"/>
      <c r="P6" s="216"/>
      <c r="Q6" s="216"/>
      <c r="R6" s="216"/>
      <c r="S6" s="216"/>
      <c r="T6" s="216"/>
    </row>
    <row r="7" spans="1:20" s="4" customFormat="1" ht="13.5" customHeight="1">
      <c r="A7" s="248"/>
      <c r="B7" s="249"/>
      <c r="C7" s="257"/>
      <c r="D7" s="257"/>
      <c r="E7" s="257"/>
      <c r="F7" s="230"/>
      <c r="G7" s="230"/>
      <c r="H7" s="230"/>
      <c r="I7" s="223">
        <f>ROUNDDOWN(C7*F7,0)</f>
        <v>0</v>
      </c>
      <c r="J7" s="224"/>
      <c r="K7" s="30"/>
      <c r="M7" s="185"/>
      <c r="N7" s="185"/>
      <c r="O7" s="216"/>
      <c r="P7" s="216"/>
      <c r="Q7" s="216"/>
      <c r="R7" s="216"/>
      <c r="S7" s="216"/>
      <c r="T7" s="216"/>
    </row>
    <row r="8" spans="1:20" s="4" customFormat="1" ht="13.5" customHeight="1">
      <c r="A8" s="248"/>
      <c r="B8" s="249"/>
      <c r="C8" s="258"/>
      <c r="D8" s="258"/>
      <c r="E8" s="258"/>
      <c r="F8" s="230"/>
      <c r="G8" s="230"/>
      <c r="H8" s="230"/>
      <c r="I8" s="223">
        <f>ROUNDDOWN(C8*F8,0)</f>
        <v>0</v>
      </c>
      <c r="J8" s="224"/>
      <c r="K8" s="30"/>
      <c r="M8" s="185"/>
      <c r="N8" s="185"/>
      <c r="O8" s="216"/>
      <c r="P8" s="216"/>
      <c r="Q8" s="216"/>
      <c r="R8" s="216"/>
      <c r="S8" s="216"/>
      <c r="T8" s="216"/>
    </row>
    <row r="9" spans="1:20" ht="13.5" customHeight="1" thickBot="1">
      <c r="A9" s="255" t="s">
        <v>21</v>
      </c>
      <c r="B9" s="256"/>
      <c r="C9" s="231"/>
      <c r="D9" s="232"/>
      <c r="E9" s="232"/>
      <c r="F9" s="231"/>
      <c r="G9" s="232"/>
      <c r="H9" s="232"/>
      <c r="I9" s="225">
        <f>SUM(I4:J8)</f>
        <v>7000000</v>
      </c>
      <c r="J9" s="226"/>
      <c r="K9" s="30"/>
      <c r="M9" s="185"/>
      <c r="N9" s="185"/>
      <c r="O9" s="185"/>
      <c r="P9" s="185"/>
      <c r="Q9" s="185"/>
      <c r="R9" s="185"/>
      <c r="S9" s="216"/>
      <c r="T9" s="216"/>
    </row>
    <row r="10" spans="8:20" ht="15" customHeight="1" thickBot="1">
      <c r="H10" s="229"/>
      <c r="I10" s="229"/>
      <c r="J10" s="6"/>
      <c r="K10" s="6"/>
      <c r="L10" s="6"/>
      <c r="M10" s="5"/>
      <c r="N10" s="6"/>
      <c r="O10" s="6"/>
      <c r="P10" s="6"/>
      <c r="Q10" s="6"/>
      <c r="R10" s="6"/>
      <c r="S10" s="6"/>
      <c r="T10" s="6"/>
    </row>
    <row r="11" spans="1:21" ht="39" customHeight="1" thickBot="1">
      <c r="A11" s="7" t="s">
        <v>69</v>
      </c>
      <c r="B11" s="208"/>
      <c r="C11" s="209"/>
      <c r="D11" s="209"/>
      <c r="E11" s="209"/>
      <c r="F11" s="209"/>
      <c r="G11" s="210"/>
      <c r="H11" s="219">
        <f>'鏡'!F18</f>
        <v>10</v>
      </c>
      <c r="I11" s="220"/>
      <c r="J11" s="9">
        <f>IF('鏡'!K18&gt;1,IF(H11+1&gt;12,H11+1-12,H11+1),"")</f>
        <v>11</v>
      </c>
      <c r="K11" s="9">
        <f>IF('鏡'!K18&gt;2,IF(J11+1&gt;12,J11+1-12,J11+1),"")</f>
        <v>12</v>
      </c>
      <c r="L11" s="9">
        <f>IF('鏡'!K18&gt;3,IF(K11+1&gt;12,K11+1-12,K11+1),"")</f>
        <v>1</v>
      </c>
      <c r="M11" s="8">
        <f>IF('鏡'!K18&gt;4,IF(L11+1&gt;12,L11+1-12,L11+1),"")</f>
        <v>2</v>
      </c>
      <c r="N11" s="9">
        <f>IF('鏡'!K18&gt;5,IF(M11+1&gt;12,M11+1-12,M11+1),"")</f>
        <v>3</v>
      </c>
      <c r="O11" s="9">
        <f>IF('鏡'!K18&gt;6,IF(N11+1&gt;12,N11+1-12,N11+1),"")</f>
        <v>4</v>
      </c>
      <c r="P11" s="9">
        <f>IF('鏡'!K18&gt;7,IF(O11+1&gt;12,O11+1-12,O11+1),"")</f>
        <v>5</v>
      </c>
      <c r="Q11" s="9">
        <f>IF('鏡'!K18&gt;8,IF(P11+1&gt;12,P11+1-12,P11+1),"")</f>
        <v>6</v>
      </c>
      <c r="R11" s="9">
        <f>IF('鏡'!K18&gt;9,IF(Q11+1&gt;12,Q11+1-12,Q11+1),"")</f>
        <v>7</v>
      </c>
      <c r="S11" s="9">
        <f>IF('鏡'!K18&gt;10,IF(R11+1&gt;12,R11+1-12,R11+1),"")</f>
        <v>8</v>
      </c>
      <c r="T11" s="9">
        <f>IF('鏡'!K18&gt;11,IF(S11+1&gt;12,S11+1-12,S11+1),"")</f>
        <v>9</v>
      </c>
      <c r="U11" s="10" t="s">
        <v>35</v>
      </c>
    </row>
    <row r="12" spans="1:21" ht="13.5" customHeight="1" thickTop="1">
      <c r="A12" s="214" t="str">
        <f>A4</f>
        <v>鉄筋Ｄ１３（仮）</v>
      </c>
      <c r="B12" s="250" t="s">
        <v>36</v>
      </c>
      <c r="C12" s="251"/>
      <c r="D12" s="251"/>
      <c r="E12" s="251"/>
      <c r="F12" s="251"/>
      <c r="G12" s="252"/>
      <c r="H12" s="221"/>
      <c r="I12" s="222"/>
      <c r="J12" s="11"/>
      <c r="K12" s="11"/>
      <c r="L12" s="11">
        <v>74000</v>
      </c>
      <c r="M12" s="12">
        <v>78000</v>
      </c>
      <c r="N12" s="11">
        <v>83000</v>
      </c>
      <c r="O12" s="11"/>
      <c r="P12" s="11"/>
      <c r="Q12" s="11"/>
      <c r="R12" s="11"/>
      <c r="S12" s="11"/>
      <c r="T12" s="11"/>
      <c r="U12" s="80">
        <f>SUM(H12*H14,J12*J14,K12*K14,L12*L14,M12*M14,N12*N14,O12*O14,P12*P14,Q12*Q14,R12*R14,S12*S14,T12*T14)</f>
        <v>7970000</v>
      </c>
    </row>
    <row r="13" spans="1:21" ht="13.5" customHeight="1">
      <c r="A13" s="199"/>
      <c r="B13" s="192" t="s">
        <v>37</v>
      </c>
      <c r="C13" s="193"/>
      <c r="D13" s="193"/>
      <c r="E13" s="193"/>
      <c r="F13" s="193"/>
      <c r="G13" s="194"/>
      <c r="H13" s="203"/>
      <c r="I13" s="204"/>
      <c r="J13" s="2"/>
      <c r="K13" s="2"/>
      <c r="L13" s="2">
        <v>71000</v>
      </c>
      <c r="M13" s="13">
        <v>75000</v>
      </c>
      <c r="N13" s="2">
        <v>78000</v>
      </c>
      <c r="O13" s="2"/>
      <c r="P13" s="2"/>
      <c r="Q13" s="2"/>
      <c r="R13" s="2"/>
      <c r="S13" s="2"/>
      <c r="T13" s="2"/>
      <c r="U13" s="19">
        <f>SUM(H13*H14,J13*J14,K13*K14,L13*L14,M13*M14,N13*N14,O13*O14,P13*P14,Q13*Q14,R13*R14,S13*S14,T13*T14)</f>
        <v>7570000</v>
      </c>
    </row>
    <row r="14" spans="1:21" ht="13.5" customHeight="1" thickBot="1">
      <c r="A14" s="215"/>
      <c r="B14" s="205" t="s">
        <v>38</v>
      </c>
      <c r="C14" s="206"/>
      <c r="D14" s="206"/>
      <c r="E14" s="206"/>
      <c r="F14" s="206"/>
      <c r="G14" s="207"/>
      <c r="H14" s="227"/>
      <c r="I14" s="228"/>
      <c r="J14" s="95"/>
      <c r="K14" s="95"/>
      <c r="L14" s="95">
        <v>20</v>
      </c>
      <c r="M14" s="98">
        <v>30</v>
      </c>
      <c r="N14" s="95">
        <v>50</v>
      </c>
      <c r="O14" s="95"/>
      <c r="P14" s="95"/>
      <c r="Q14" s="95"/>
      <c r="R14" s="95"/>
      <c r="S14" s="95"/>
      <c r="T14" s="95"/>
      <c r="U14" s="99">
        <f>SUM(H14:T14)</f>
        <v>100</v>
      </c>
    </row>
    <row r="15" spans="1:21" ht="13.5" customHeight="1" thickTop="1">
      <c r="A15" s="198">
        <f>A5</f>
        <v>0</v>
      </c>
      <c r="B15" s="211" t="s">
        <v>36</v>
      </c>
      <c r="C15" s="212"/>
      <c r="D15" s="212"/>
      <c r="E15" s="212"/>
      <c r="F15" s="212"/>
      <c r="G15" s="213"/>
      <c r="H15" s="201"/>
      <c r="I15" s="202"/>
      <c r="J15" s="14"/>
      <c r="K15" s="14"/>
      <c r="L15" s="14"/>
      <c r="M15" s="13"/>
      <c r="N15" s="14"/>
      <c r="O15" s="14"/>
      <c r="P15" s="14"/>
      <c r="Q15" s="14"/>
      <c r="R15" s="14"/>
      <c r="S15" s="14"/>
      <c r="T15" s="14"/>
      <c r="U15" s="17">
        <f>SUM(H15*H17,J15*J17,K15*K17,L15*L17,M15*M17,N15*N17,O15*O17,P15*P17,Q15*Q17,R15*R17,S15*S17,T15*T17)</f>
        <v>0</v>
      </c>
    </row>
    <row r="16" spans="1:21" ht="13.5" customHeight="1">
      <c r="A16" s="199"/>
      <c r="B16" s="192" t="s">
        <v>37</v>
      </c>
      <c r="C16" s="193"/>
      <c r="D16" s="193"/>
      <c r="E16" s="193"/>
      <c r="F16" s="193"/>
      <c r="G16" s="194"/>
      <c r="H16" s="203"/>
      <c r="I16" s="204"/>
      <c r="J16" s="2"/>
      <c r="K16" s="2"/>
      <c r="L16" s="2"/>
      <c r="M16" s="13"/>
      <c r="N16" s="2"/>
      <c r="O16" s="2"/>
      <c r="P16" s="2"/>
      <c r="Q16" s="2"/>
      <c r="R16" s="2"/>
      <c r="S16" s="2"/>
      <c r="T16" s="2"/>
      <c r="U16" s="19">
        <f>SUM(H16*H17,J16*J17,K16*K17,L16*L17,M16*M17,N16*N17,O16*O17,P16*P17,Q16*Q17,R16*R17,S16*S17,T16*T17)</f>
        <v>0</v>
      </c>
    </row>
    <row r="17" spans="1:21" ht="13.5" customHeight="1" thickBot="1">
      <c r="A17" s="200"/>
      <c r="B17" s="243" t="s">
        <v>38</v>
      </c>
      <c r="C17" s="244"/>
      <c r="D17" s="244"/>
      <c r="E17" s="244"/>
      <c r="F17" s="244"/>
      <c r="G17" s="245"/>
      <c r="H17" s="217"/>
      <c r="I17" s="218"/>
      <c r="J17" s="96"/>
      <c r="K17" s="96"/>
      <c r="L17" s="96"/>
      <c r="M17" s="97"/>
      <c r="N17" s="96"/>
      <c r="O17" s="96"/>
      <c r="P17" s="96"/>
      <c r="Q17" s="96"/>
      <c r="R17" s="96"/>
      <c r="S17" s="96"/>
      <c r="T17" s="96"/>
      <c r="U17" s="100">
        <f>SUM(H17:T17)</f>
        <v>0</v>
      </c>
    </row>
    <row r="18" spans="1:21" ht="13.5" customHeight="1" thickTop="1">
      <c r="A18" s="214">
        <f>A6</f>
        <v>0</v>
      </c>
      <c r="B18" s="250" t="s">
        <v>36</v>
      </c>
      <c r="C18" s="251"/>
      <c r="D18" s="251"/>
      <c r="E18" s="251"/>
      <c r="F18" s="251"/>
      <c r="G18" s="252"/>
      <c r="H18" s="241"/>
      <c r="I18" s="242"/>
      <c r="J18" s="11"/>
      <c r="K18" s="11"/>
      <c r="L18" s="11"/>
      <c r="M18" s="12"/>
      <c r="N18" s="11"/>
      <c r="O18" s="11"/>
      <c r="P18" s="11"/>
      <c r="Q18" s="11"/>
      <c r="R18" s="11"/>
      <c r="S18" s="11"/>
      <c r="T18" s="11"/>
      <c r="U18" s="80">
        <f>SUM(H18*H20,J18*J20,K18*K20,L18*L20,M18*M20,N18*N20,O18*O20,P18*P20,Q18*Q20,R18*R20,S18*S20,T18*T20)</f>
        <v>0</v>
      </c>
    </row>
    <row r="19" spans="1:21" ht="13.5" customHeight="1">
      <c r="A19" s="199"/>
      <c r="B19" s="192" t="s">
        <v>37</v>
      </c>
      <c r="C19" s="193"/>
      <c r="D19" s="193"/>
      <c r="E19" s="193"/>
      <c r="F19" s="193"/>
      <c r="G19" s="194"/>
      <c r="H19" s="203"/>
      <c r="I19" s="204"/>
      <c r="J19" s="2"/>
      <c r="K19" s="2"/>
      <c r="L19" s="2"/>
      <c r="M19" s="13"/>
      <c r="N19" s="2"/>
      <c r="O19" s="2"/>
      <c r="P19" s="2"/>
      <c r="Q19" s="2"/>
      <c r="R19" s="2"/>
      <c r="S19" s="2"/>
      <c r="T19" s="2"/>
      <c r="U19" s="19">
        <f>SUM(H19*H20,J19*J20,K19*K20,L19*L20,M19*M20,N19*N20,O19*O20,P19*P20,Q19*Q20,R19*R20,S19*S20,T19*T20)</f>
        <v>0</v>
      </c>
    </row>
    <row r="20" spans="1:21" ht="13.5" customHeight="1" thickBot="1">
      <c r="A20" s="215"/>
      <c r="B20" s="205" t="s">
        <v>38</v>
      </c>
      <c r="C20" s="206"/>
      <c r="D20" s="206"/>
      <c r="E20" s="206"/>
      <c r="F20" s="206"/>
      <c r="G20" s="207"/>
      <c r="H20" s="227"/>
      <c r="I20" s="228"/>
      <c r="J20" s="95"/>
      <c r="K20" s="95"/>
      <c r="L20" s="95"/>
      <c r="M20" s="98"/>
      <c r="N20" s="95"/>
      <c r="O20" s="95"/>
      <c r="P20" s="95"/>
      <c r="Q20" s="95"/>
      <c r="R20" s="95"/>
      <c r="S20" s="95"/>
      <c r="T20" s="95"/>
      <c r="U20" s="99">
        <f>SUM(H20:T20)</f>
        <v>0</v>
      </c>
    </row>
    <row r="21" spans="1:21" ht="13.5" customHeight="1" thickTop="1">
      <c r="A21" s="198">
        <f>A7</f>
        <v>0</v>
      </c>
      <c r="B21" s="211" t="s">
        <v>36</v>
      </c>
      <c r="C21" s="212"/>
      <c r="D21" s="212"/>
      <c r="E21" s="212"/>
      <c r="F21" s="212"/>
      <c r="G21" s="213"/>
      <c r="H21" s="201"/>
      <c r="I21" s="202"/>
      <c r="J21" s="14"/>
      <c r="K21" s="14"/>
      <c r="L21" s="14"/>
      <c r="M21" s="13"/>
      <c r="N21" s="14"/>
      <c r="O21" s="14"/>
      <c r="P21" s="14"/>
      <c r="Q21" s="14"/>
      <c r="R21" s="14"/>
      <c r="S21" s="14"/>
      <c r="T21" s="14"/>
      <c r="U21" s="17">
        <f>SUM(H21*H23,J21*J23,K21*K23,L21*L23,M21*M23,N21*N23,O21*O23,P21*P23,Q21*Q23,R21*R23,S21*S23,T21*T23)</f>
        <v>0</v>
      </c>
    </row>
    <row r="22" spans="1:21" ht="13.5" customHeight="1">
      <c r="A22" s="199"/>
      <c r="B22" s="192" t="s">
        <v>37</v>
      </c>
      <c r="C22" s="193"/>
      <c r="D22" s="193"/>
      <c r="E22" s="193"/>
      <c r="F22" s="193"/>
      <c r="G22" s="194"/>
      <c r="H22" s="203"/>
      <c r="I22" s="204"/>
      <c r="J22" s="2"/>
      <c r="K22" s="2"/>
      <c r="L22" s="2"/>
      <c r="M22" s="13"/>
      <c r="N22" s="2"/>
      <c r="O22" s="2"/>
      <c r="P22" s="2"/>
      <c r="Q22" s="2"/>
      <c r="R22" s="2"/>
      <c r="S22" s="2"/>
      <c r="T22" s="2"/>
      <c r="U22" s="19">
        <f>SUM(H22*H23,J22*J23,K22*K23,L22*L23,M22*M23,N22*N23,O22*O23,P22*P23,Q22*Q23,R22*R23,S22*S23,T22*T23)</f>
        <v>0</v>
      </c>
    </row>
    <row r="23" spans="1:21" ht="13.5" customHeight="1" thickBot="1">
      <c r="A23" s="200"/>
      <c r="B23" s="243" t="s">
        <v>38</v>
      </c>
      <c r="C23" s="244"/>
      <c r="D23" s="244"/>
      <c r="E23" s="244"/>
      <c r="F23" s="244"/>
      <c r="G23" s="245"/>
      <c r="H23" s="217"/>
      <c r="I23" s="218"/>
      <c r="J23" s="96"/>
      <c r="K23" s="96"/>
      <c r="L23" s="96"/>
      <c r="M23" s="97"/>
      <c r="N23" s="96"/>
      <c r="O23" s="96"/>
      <c r="P23" s="96"/>
      <c r="Q23" s="96"/>
      <c r="R23" s="96"/>
      <c r="S23" s="96"/>
      <c r="T23" s="96"/>
      <c r="U23" s="100">
        <f>SUM(H23:T23)</f>
        <v>0</v>
      </c>
    </row>
    <row r="24" spans="1:21" ht="13.5" customHeight="1" thickTop="1">
      <c r="A24" s="214">
        <f>A8</f>
        <v>0</v>
      </c>
      <c r="B24" s="250" t="s">
        <v>36</v>
      </c>
      <c r="C24" s="251"/>
      <c r="D24" s="251"/>
      <c r="E24" s="251"/>
      <c r="F24" s="251"/>
      <c r="G24" s="252"/>
      <c r="H24" s="241"/>
      <c r="I24" s="242"/>
      <c r="J24" s="11"/>
      <c r="K24" s="11"/>
      <c r="L24" s="11"/>
      <c r="M24" s="12"/>
      <c r="N24" s="11"/>
      <c r="O24" s="11"/>
      <c r="P24" s="11"/>
      <c r="Q24" s="11"/>
      <c r="R24" s="11"/>
      <c r="S24" s="11"/>
      <c r="T24" s="11"/>
      <c r="U24" s="80">
        <f>SUM(H24*H26,J24*J26,K24*K26,L24*L26,M24*M26,N24*N26,O24*O26,P24*P26,Q24*Q26,R24*R26,S24*S26,T24*T26)</f>
        <v>0</v>
      </c>
    </row>
    <row r="25" spans="1:21" ht="13.5" customHeight="1">
      <c r="A25" s="199"/>
      <c r="B25" s="192" t="s">
        <v>37</v>
      </c>
      <c r="C25" s="193"/>
      <c r="D25" s="193"/>
      <c r="E25" s="193"/>
      <c r="F25" s="193"/>
      <c r="G25" s="194"/>
      <c r="H25" s="203"/>
      <c r="I25" s="204"/>
      <c r="J25" s="2"/>
      <c r="K25" s="2"/>
      <c r="L25" s="2"/>
      <c r="M25" s="13"/>
      <c r="N25" s="2"/>
      <c r="O25" s="2"/>
      <c r="P25" s="2"/>
      <c r="Q25" s="2"/>
      <c r="R25" s="2"/>
      <c r="S25" s="2"/>
      <c r="T25" s="2"/>
      <c r="U25" s="19">
        <f>SUM(H25*H26,J25*J26,K25*K26,L25*L26,M25*M26,N25*N26,O25*O26,P25*P26,Q25*Q26,R25*R26,S25*S26,T25*T26)</f>
        <v>0</v>
      </c>
    </row>
    <row r="26" spans="1:21" ht="13.5" customHeight="1" thickBot="1">
      <c r="A26" s="215"/>
      <c r="B26" s="205" t="s">
        <v>38</v>
      </c>
      <c r="C26" s="206"/>
      <c r="D26" s="206"/>
      <c r="E26" s="206"/>
      <c r="F26" s="206"/>
      <c r="G26" s="207"/>
      <c r="H26" s="227"/>
      <c r="I26" s="228"/>
      <c r="J26" s="95"/>
      <c r="K26" s="95"/>
      <c r="L26" s="95"/>
      <c r="M26" s="98"/>
      <c r="N26" s="95"/>
      <c r="O26" s="95"/>
      <c r="P26" s="95"/>
      <c r="Q26" s="95"/>
      <c r="R26" s="95"/>
      <c r="S26" s="95"/>
      <c r="T26" s="95"/>
      <c r="U26" s="99">
        <f>SUM(H26:T26)</f>
        <v>0</v>
      </c>
    </row>
    <row r="27" spans="1:21" ht="13.5" customHeight="1" thickTop="1">
      <c r="A27" s="198" t="s">
        <v>21</v>
      </c>
      <c r="B27" s="211" t="s">
        <v>36</v>
      </c>
      <c r="C27" s="212"/>
      <c r="D27" s="212"/>
      <c r="E27" s="212"/>
      <c r="F27" s="212"/>
      <c r="G27" s="213"/>
      <c r="H27" s="253"/>
      <c r="I27" s="254"/>
      <c r="J27" s="16"/>
      <c r="K27" s="16"/>
      <c r="L27" s="16"/>
      <c r="M27" s="15"/>
      <c r="N27" s="16"/>
      <c r="O27" s="16"/>
      <c r="P27" s="16"/>
      <c r="Q27" s="16"/>
      <c r="R27" s="16"/>
      <c r="S27" s="16"/>
      <c r="T27" s="16"/>
      <c r="U27" s="17">
        <f>SUM(U12,U15,U18,U21,U24)</f>
        <v>7970000</v>
      </c>
    </row>
    <row r="28" spans="1:21" ht="13.5" customHeight="1">
      <c r="A28" s="199"/>
      <c r="B28" s="192" t="s">
        <v>37</v>
      </c>
      <c r="C28" s="193"/>
      <c r="D28" s="193"/>
      <c r="E28" s="193"/>
      <c r="F28" s="193"/>
      <c r="G28" s="194"/>
      <c r="H28" s="233"/>
      <c r="I28" s="234"/>
      <c r="J28" s="18"/>
      <c r="K28" s="18"/>
      <c r="L28" s="18"/>
      <c r="M28" s="15"/>
      <c r="N28" s="18"/>
      <c r="O28" s="18"/>
      <c r="P28" s="18"/>
      <c r="Q28" s="18"/>
      <c r="R28" s="18"/>
      <c r="S28" s="18"/>
      <c r="T28" s="18"/>
      <c r="U28" s="19">
        <f>SUM(U13,U16,U19,U22,U25)</f>
        <v>7570000</v>
      </c>
    </row>
    <row r="29" spans="1:21" ht="13.5" customHeight="1" thickBot="1">
      <c r="A29" s="239"/>
      <c r="B29" s="195" t="s">
        <v>38</v>
      </c>
      <c r="C29" s="196"/>
      <c r="D29" s="196"/>
      <c r="E29" s="196"/>
      <c r="F29" s="196"/>
      <c r="G29" s="197"/>
      <c r="H29" s="235"/>
      <c r="I29" s="236"/>
      <c r="J29" s="20"/>
      <c r="K29" s="20"/>
      <c r="L29" s="20"/>
      <c r="M29" s="21"/>
      <c r="N29" s="20"/>
      <c r="O29" s="20"/>
      <c r="P29" s="20"/>
      <c r="Q29" s="20"/>
      <c r="R29" s="20"/>
      <c r="S29" s="20"/>
      <c r="T29" s="20"/>
      <c r="U29" s="101">
        <f>SUM(U14,U17,U20,U23,U26)</f>
        <v>100</v>
      </c>
    </row>
    <row r="31" ht="12" thickBot="1">
      <c r="A31" s="1" t="s">
        <v>39</v>
      </c>
    </row>
    <row r="32" spans="3:13" ht="12" thickBot="1">
      <c r="C32" s="186">
        <f>I9</f>
        <v>7000000</v>
      </c>
      <c r="D32" s="187"/>
      <c r="E32" s="188"/>
      <c r="F32" s="6" t="s">
        <v>45</v>
      </c>
      <c r="G32" s="189">
        <f>'鏡'!I13</f>
        <v>0.9</v>
      </c>
      <c r="H32" s="188"/>
      <c r="I32" s="6" t="s">
        <v>45</v>
      </c>
      <c r="J32" s="104">
        <v>1.08</v>
      </c>
      <c r="K32" s="6" t="s">
        <v>46</v>
      </c>
      <c r="L32" s="190">
        <f>ROUNDDOWN(C32*G32*J32,0)</f>
        <v>6804000</v>
      </c>
      <c r="M32" s="191"/>
    </row>
    <row r="33" spans="1:9" ht="12" thickBot="1">
      <c r="A33" s="1" t="s">
        <v>87</v>
      </c>
      <c r="F33" s="6"/>
      <c r="I33" s="6"/>
    </row>
    <row r="34" spans="3:13" ht="12" thickBot="1">
      <c r="C34" s="186">
        <f>U27</f>
        <v>7970000</v>
      </c>
      <c r="D34" s="187"/>
      <c r="E34" s="188"/>
      <c r="F34" s="6" t="s">
        <v>45</v>
      </c>
      <c r="G34" s="189">
        <f>'鏡'!I13</f>
        <v>0.9</v>
      </c>
      <c r="H34" s="188"/>
      <c r="I34" s="6" t="s">
        <v>45</v>
      </c>
      <c r="J34" s="104">
        <v>1.08</v>
      </c>
      <c r="K34" s="6" t="s">
        <v>46</v>
      </c>
      <c r="L34" s="190">
        <f>ROUNDDOWN(C34*G34*J34,0)</f>
        <v>7746840</v>
      </c>
      <c r="M34" s="191"/>
    </row>
    <row r="35" spans="1:13" ht="12" thickBot="1">
      <c r="A35" s="1" t="s">
        <v>40</v>
      </c>
      <c r="F35" s="6"/>
      <c r="I35" s="6"/>
      <c r="L35" s="184"/>
      <c r="M35" s="184"/>
    </row>
    <row r="36" spans="3:11" ht="14.25" customHeight="1" thickBot="1">
      <c r="C36" s="186">
        <f>U28</f>
        <v>7570000</v>
      </c>
      <c r="D36" s="187"/>
      <c r="E36" s="188"/>
      <c r="F36" s="6" t="s">
        <v>45</v>
      </c>
      <c r="G36" s="238">
        <v>1.08</v>
      </c>
      <c r="H36" s="188"/>
      <c r="I36" s="6" t="s">
        <v>46</v>
      </c>
      <c r="J36" s="190">
        <f>ROUNDDOWN(C36*G36,0)</f>
        <v>8175600</v>
      </c>
      <c r="K36" s="191"/>
    </row>
    <row r="37" spans="3:12" ht="16.5" customHeight="1" thickBot="1">
      <c r="C37" s="6" t="str">
        <f>IF(J36&lt;L34,"※この場合、価格変動後の金額Ｍ変更鋼は、実購入額を採用","※この場合、価格変動後の金額Ｍ変更鋼は、実勢価格を採用")</f>
        <v>※この場合、価格変動後の金額Ｍ変更鋼は、実勢価格を採用</v>
      </c>
      <c r="D37" s="6"/>
      <c r="E37" s="6"/>
      <c r="F37" s="6"/>
      <c r="G37" s="6"/>
      <c r="H37" s="6"/>
      <c r="I37" s="6"/>
      <c r="J37" s="6"/>
      <c r="K37" s="6"/>
      <c r="L37" s="6"/>
    </row>
    <row r="38" spans="1:13" ht="14.25" customHeight="1" thickBot="1">
      <c r="A38" s="1" t="s">
        <v>42</v>
      </c>
      <c r="D38" s="186">
        <f>MIN(J36,L34)</f>
        <v>7746840</v>
      </c>
      <c r="E38" s="187"/>
      <c r="F38" s="188"/>
      <c r="G38" s="6" t="s">
        <v>47</v>
      </c>
      <c r="H38" s="186">
        <f>L32</f>
        <v>6804000</v>
      </c>
      <c r="I38" s="187"/>
      <c r="J38" s="188"/>
      <c r="K38" s="6" t="s">
        <v>48</v>
      </c>
      <c r="L38" s="186">
        <f>D38-H38</f>
        <v>942840</v>
      </c>
      <c r="M38" s="237"/>
    </row>
  </sheetData>
  <sheetProtection/>
  <mergeCells count="115">
    <mergeCell ref="I3:J3"/>
    <mergeCell ref="I4:J4"/>
    <mergeCell ref="I5:J5"/>
    <mergeCell ref="I6:J6"/>
    <mergeCell ref="F7:H7"/>
    <mergeCell ref="I7:J7"/>
    <mergeCell ref="C3:E3"/>
    <mergeCell ref="F3:H3"/>
    <mergeCell ref="C5:E5"/>
    <mergeCell ref="C6:E6"/>
    <mergeCell ref="F4:H4"/>
    <mergeCell ref="F5:H5"/>
    <mergeCell ref="F6:H6"/>
    <mergeCell ref="C4:E4"/>
    <mergeCell ref="A7:B7"/>
    <mergeCell ref="A8:B8"/>
    <mergeCell ref="A9:B9"/>
    <mergeCell ref="C9:E9"/>
    <mergeCell ref="C7:E7"/>
    <mergeCell ref="C8:E8"/>
    <mergeCell ref="B27:G27"/>
    <mergeCell ref="H17:I17"/>
    <mergeCell ref="H18:I18"/>
    <mergeCell ref="H19:I19"/>
    <mergeCell ref="H20:I20"/>
    <mergeCell ref="H26:I26"/>
    <mergeCell ref="H27:I27"/>
    <mergeCell ref="B17:G17"/>
    <mergeCell ref="B18:G18"/>
    <mergeCell ref="B24:G24"/>
    <mergeCell ref="A15:A17"/>
    <mergeCell ref="A18:A20"/>
    <mergeCell ref="A3:B3"/>
    <mergeCell ref="A4:B4"/>
    <mergeCell ref="A5:B5"/>
    <mergeCell ref="B19:G19"/>
    <mergeCell ref="B20:G20"/>
    <mergeCell ref="B16:G16"/>
    <mergeCell ref="B12:G12"/>
    <mergeCell ref="A6:B6"/>
    <mergeCell ref="A24:A26"/>
    <mergeCell ref="A27:A29"/>
    <mergeCell ref="A1:K1"/>
    <mergeCell ref="H24:I24"/>
    <mergeCell ref="H25:I25"/>
    <mergeCell ref="B21:G21"/>
    <mergeCell ref="B22:G22"/>
    <mergeCell ref="B23:G23"/>
    <mergeCell ref="B25:G25"/>
    <mergeCell ref="B26:G26"/>
    <mergeCell ref="G32:H32"/>
    <mergeCell ref="L32:M32"/>
    <mergeCell ref="H28:I28"/>
    <mergeCell ref="H29:I29"/>
    <mergeCell ref="D38:F38"/>
    <mergeCell ref="H38:J38"/>
    <mergeCell ref="L38:M38"/>
    <mergeCell ref="C36:E36"/>
    <mergeCell ref="G36:H36"/>
    <mergeCell ref="J36:K36"/>
    <mergeCell ref="C32:E32"/>
    <mergeCell ref="O8:P8"/>
    <mergeCell ref="O9:P9"/>
    <mergeCell ref="H13:I13"/>
    <mergeCell ref="H14:I14"/>
    <mergeCell ref="M8:N8"/>
    <mergeCell ref="M9:N9"/>
    <mergeCell ref="H10:I10"/>
    <mergeCell ref="F8:H8"/>
    <mergeCell ref="F9:H9"/>
    <mergeCell ref="S3:T3"/>
    <mergeCell ref="S4:T4"/>
    <mergeCell ref="S5:T5"/>
    <mergeCell ref="O3:P3"/>
    <mergeCell ref="Q3:R3"/>
    <mergeCell ref="Q5:R5"/>
    <mergeCell ref="Q4:R4"/>
    <mergeCell ref="S6:T6"/>
    <mergeCell ref="Q6:R6"/>
    <mergeCell ref="Q7:R7"/>
    <mergeCell ref="O4:P4"/>
    <mergeCell ref="O5:P5"/>
    <mergeCell ref="O6:P6"/>
    <mergeCell ref="O7:P7"/>
    <mergeCell ref="S7:T7"/>
    <mergeCell ref="S8:T8"/>
    <mergeCell ref="S9:T9"/>
    <mergeCell ref="Q8:R8"/>
    <mergeCell ref="Q9:R9"/>
    <mergeCell ref="H15:I15"/>
    <mergeCell ref="H23:I23"/>
    <mergeCell ref="H11:I11"/>
    <mergeCell ref="H12:I12"/>
    <mergeCell ref="I8:J8"/>
    <mergeCell ref="I9:J9"/>
    <mergeCell ref="M7:N7"/>
    <mergeCell ref="A21:A23"/>
    <mergeCell ref="H21:I21"/>
    <mergeCell ref="H22:I22"/>
    <mergeCell ref="B13:G13"/>
    <mergeCell ref="B14:G14"/>
    <mergeCell ref="B11:G11"/>
    <mergeCell ref="B15:G15"/>
    <mergeCell ref="H16:I16"/>
    <mergeCell ref="A12:A14"/>
    <mergeCell ref="L35:M35"/>
    <mergeCell ref="M3:N3"/>
    <mergeCell ref="C34:E34"/>
    <mergeCell ref="G34:H34"/>
    <mergeCell ref="L34:M34"/>
    <mergeCell ref="B28:G28"/>
    <mergeCell ref="B29:G29"/>
    <mergeCell ref="M4:N4"/>
    <mergeCell ref="M5:N5"/>
    <mergeCell ref="M6:N6"/>
  </mergeCells>
  <printOptions horizontalCentered="1" verticalCentered="1"/>
  <pageMargins left="0.3937007874015748" right="0.3937007874015748" top="0.7874015748031497" bottom="0.3937007874015748" header="0.5118110236220472" footer="0.3937007874015748"/>
  <pageSetup blackAndWhite="1" errors="blank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2"/>
  <sheetViews>
    <sheetView showZeros="0" zoomScalePageLayoutView="0" workbookViewId="0" topLeftCell="A40">
      <selection activeCell="K53" sqref="K53"/>
    </sheetView>
  </sheetViews>
  <sheetFormatPr defaultColWidth="9.00390625" defaultRowHeight="13.5"/>
  <cols>
    <col min="1" max="1" width="9.625" style="1" customWidth="1"/>
    <col min="2" max="2" width="9.50390625" style="1" customWidth="1"/>
    <col min="3" max="17" width="7.125" style="1" customWidth="1"/>
    <col min="18" max="18" width="3.625" style="1" customWidth="1"/>
    <col min="19" max="19" width="10.625" style="1" customWidth="1"/>
    <col min="20" max="20" width="5.625" style="1" customWidth="1"/>
    <col min="21" max="21" width="10.625" style="1" customWidth="1"/>
    <col min="22" max="22" width="3.125" style="1" customWidth="1"/>
    <col min="23" max="23" width="7.625" style="1" customWidth="1"/>
    <col min="24" max="24" width="3.625" style="1" customWidth="1"/>
    <col min="25" max="16384" width="9.00390625" style="1" customWidth="1"/>
  </cols>
  <sheetData>
    <row r="1" ht="11.25"/>
    <row r="2" spans="1:11" ht="17.25">
      <c r="A2" s="240" t="s">
        <v>96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ht="12" thickBot="1"/>
    <row r="4" spans="3:17" ht="13.5" customHeight="1">
      <c r="C4" s="59"/>
      <c r="D4" s="59"/>
      <c r="E4" s="59"/>
      <c r="F4" s="59"/>
      <c r="G4" s="61"/>
      <c r="H4" s="308" t="s">
        <v>50</v>
      </c>
      <c r="I4" s="308"/>
      <c r="J4" s="308"/>
      <c r="K4" s="308"/>
      <c r="L4" s="308"/>
      <c r="M4" s="308"/>
      <c r="N4" s="31" t="s">
        <v>41</v>
      </c>
      <c r="O4" s="305">
        <v>55000</v>
      </c>
      <c r="P4" s="305"/>
      <c r="Q4" s="44" t="s">
        <v>51</v>
      </c>
    </row>
    <row r="5" spans="3:17" ht="14.25" customHeight="1" thickBot="1">
      <c r="C5" s="60"/>
      <c r="D5" s="60"/>
      <c r="E5" s="60"/>
      <c r="F5" s="60"/>
      <c r="G5" s="62"/>
      <c r="H5" s="309" t="s">
        <v>53</v>
      </c>
      <c r="I5" s="309"/>
      <c r="J5" s="309"/>
      <c r="K5" s="309"/>
      <c r="L5" s="309"/>
      <c r="M5" s="309"/>
      <c r="N5" s="49" t="s">
        <v>41</v>
      </c>
      <c r="O5" s="306">
        <v>4000</v>
      </c>
      <c r="P5" s="307"/>
      <c r="Q5" s="50" t="s">
        <v>52</v>
      </c>
    </row>
    <row r="6" spans="1:17" ht="18" customHeight="1">
      <c r="A6" s="316" t="s">
        <v>66</v>
      </c>
      <c r="B6" s="297" t="s">
        <v>63</v>
      </c>
      <c r="C6" s="299" t="s">
        <v>1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  <c r="P6" s="24" t="s">
        <v>2</v>
      </c>
      <c r="Q6" s="25" t="s">
        <v>2</v>
      </c>
    </row>
    <row r="7" spans="1:19" ht="14.25" customHeight="1" thickBot="1">
      <c r="A7" s="317"/>
      <c r="B7" s="298"/>
      <c r="C7" s="22">
        <f>'鋼材スライド額'!H11</f>
        <v>10</v>
      </c>
      <c r="D7" s="22">
        <f>'鋼材スライド額'!J11</f>
        <v>11</v>
      </c>
      <c r="E7" s="22">
        <f>'鋼材スライド額'!K11</f>
        <v>12</v>
      </c>
      <c r="F7" s="22">
        <f>'鋼材スライド額'!L11</f>
        <v>1</v>
      </c>
      <c r="G7" s="22">
        <f>'鋼材スライド額'!M11</f>
        <v>2</v>
      </c>
      <c r="H7" s="22">
        <f>'鋼材スライド額'!N11</f>
        <v>3</v>
      </c>
      <c r="I7" s="22">
        <f>'鋼材スライド額'!O11</f>
        <v>4</v>
      </c>
      <c r="J7" s="22">
        <f>'鋼材スライド額'!P11</f>
        <v>5</v>
      </c>
      <c r="K7" s="22">
        <f>'鋼材スライド額'!Q11</f>
        <v>6</v>
      </c>
      <c r="L7" s="22">
        <f>'鋼材スライド額'!R11</f>
        <v>7</v>
      </c>
      <c r="M7" s="22">
        <f>'鋼材スライド額'!S11</f>
        <v>8</v>
      </c>
      <c r="N7" s="22">
        <f>'鋼材スライド額'!T11</f>
        <v>9</v>
      </c>
      <c r="O7" s="23" t="s">
        <v>21</v>
      </c>
      <c r="P7" s="26" t="s">
        <v>3</v>
      </c>
      <c r="Q7" s="27" t="s">
        <v>4</v>
      </c>
      <c r="S7" s="28" t="s">
        <v>56</v>
      </c>
    </row>
    <row r="8" spans="1:20" ht="12" customHeight="1">
      <c r="A8" s="278" t="s">
        <v>6</v>
      </c>
      <c r="B8" s="279"/>
      <c r="C8" s="230"/>
      <c r="D8" s="230"/>
      <c r="E8" s="230"/>
      <c r="F8" s="230">
        <v>5000</v>
      </c>
      <c r="G8" s="230">
        <v>10000</v>
      </c>
      <c r="H8" s="230">
        <v>15000</v>
      </c>
      <c r="I8" s="230">
        <v>14000</v>
      </c>
      <c r="J8" s="230">
        <v>5000</v>
      </c>
      <c r="K8" s="230">
        <v>1000</v>
      </c>
      <c r="L8" s="230"/>
      <c r="M8" s="230"/>
      <c r="N8" s="230"/>
      <c r="O8" s="223">
        <f>SUM(C8:N9)</f>
        <v>50000</v>
      </c>
      <c r="P8" s="230">
        <v>5000</v>
      </c>
      <c r="Q8" s="224">
        <f>O8+P8</f>
        <v>55000</v>
      </c>
      <c r="R8" s="296" t="s">
        <v>18</v>
      </c>
      <c r="S8" s="310" t="str">
        <f>IF(O$4&gt;Q$8,"購入数量を採用","積算ｼｽﾃﾑの数量を採用")</f>
        <v>積算ｼｽﾃﾑの数量を採用</v>
      </c>
      <c r="T8" s="311"/>
    </row>
    <row r="9" spans="1:21" ht="12" customHeight="1" thickBot="1">
      <c r="A9" s="280" t="s">
        <v>5</v>
      </c>
      <c r="B9" s="281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23"/>
      <c r="P9" s="230"/>
      <c r="Q9" s="224"/>
      <c r="R9" s="296"/>
      <c r="S9" s="46">
        <f>MIN(O4,Q8)</f>
        <v>55000</v>
      </c>
      <c r="T9" s="35" t="s">
        <v>49</v>
      </c>
      <c r="U9" s="51"/>
    </row>
    <row r="10" spans="1:21" ht="12" customHeight="1">
      <c r="A10" s="278" t="s">
        <v>8</v>
      </c>
      <c r="B10" s="279"/>
      <c r="C10" s="230"/>
      <c r="D10" s="230"/>
      <c r="E10" s="230"/>
      <c r="F10" s="230">
        <v>1000</v>
      </c>
      <c r="G10" s="230"/>
      <c r="H10" s="230"/>
      <c r="I10" s="230">
        <v>1500</v>
      </c>
      <c r="J10" s="230">
        <v>500</v>
      </c>
      <c r="K10" s="230"/>
      <c r="L10" s="230"/>
      <c r="M10" s="230"/>
      <c r="N10" s="230"/>
      <c r="O10" s="223">
        <f>SUM(C10:N11)</f>
        <v>3000</v>
      </c>
      <c r="P10" s="286"/>
      <c r="Q10" s="224">
        <f>O10+P10</f>
        <v>3000</v>
      </c>
      <c r="R10" s="6"/>
      <c r="S10" s="310" t="str">
        <f>IF(O$5&gt;Q$9,"購入数量を採用","積算ｼｽﾃﾑの数量を採用")</f>
        <v>購入数量を採用</v>
      </c>
      <c r="T10" s="311"/>
      <c r="U10" s="51"/>
    </row>
    <row r="11" spans="1:21" ht="12" customHeight="1" thickBot="1">
      <c r="A11" s="280" t="s">
        <v>7</v>
      </c>
      <c r="B11" s="281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23"/>
      <c r="P11" s="287"/>
      <c r="Q11" s="224"/>
      <c r="R11" s="6" t="s">
        <v>18</v>
      </c>
      <c r="S11" s="47">
        <f>MIN(O5,Q10)</f>
        <v>3000</v>
      </c>
      <c r="T11" s="35" t="s">
        <v>49</v>
      </c>
      <c r="U11" s="51"/>
    </row>
    <row r="12" spans="1:17" ht="12" customHeight="1">
      <c r="A12" s="278" t="s">
        <v>9</v>
      </c>
      <c r="B12" s="279"/>
      <c r="C12" s="230">
        <v>90</v>
      </c>
      <c r="D12" s="230">
        <v>90</v>
      </c>
      <c r="E12" s="230">
        <v>100</v>
      </c>
      <c r="F12" s="230">
        <v>90</v>
      </c>
      <c r="G12" s="230">
        <v>100</v>
      </c>
      <c r="H12" s="230">
        <v>100</v>
      </c>
      <c r="I12" s="230">
        <v>100</v>
      </c>
      <c r="J12" s="230">
        <v>110</v>
      </c>
      <c r="K12" s="230">
        <v>100</v>
      </c>
      <c r="L12" s="230"/>
      <c r="M12" s="230"/>
      <c r="N12" s="230"/>
      <c r="O12" s="223"/>
      <c r="P12" s="230">
        <f>P14</f>
        <v>95</v>
      </c>
      <c r="Q12" s="224"/>
    </row>
    <row r="13" spans="1:17" ht="12" customHeight="1">
      <c r="A13" s="280" t="s">
        <v>10</v>
      </c>
      <c r="B13" s="281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23"/>
      <c r="P13" s="230"/>
      <c r="Q13" s="224"/>
    </row>
    <row r="14" spans="1:17" ht="12" customHeight="1" thickBot="1">
      <c r="A14" s="278" t="s">
        <v>11</v>
      </c>
      <c r="B14" s="279"/>
      <c r="C14" s="230">
        <v>80</v>
      </c>
      <c r="D14" s="230">
        <v>90</v>
      </c>
      <c r="E14" s="230">
        <v>90</v>
      </c>
      <c r="F14" s="230">
        <v>90</v>
      </c>
      <c r="G14" s="230">
        <v>90</v>
      </c>
      <c r="H14" s="230">
        <v>100</v>
      </c>
      <c r="I14" s="230">
        <v>110</v>
      </c>
      <c r="J14" s="230">
        <v>120</v>
      </c>
      <c r="K14" s="230">
        <v>110</v>
      </c>
      <c r="L14" s="230"/>
      <c r="M14" s="230"/>
      <c r="N14" s="230"/>
      <c r="O14" s="223"/>
      <c r="P14" s="230">
        <f>AVERAGE(D14:I15)</f>
        <v>95</v>
      </c>
      <c r="Q14" s="224"/>
    </row>
    <row r="15" spans="1:23" ht="12" customHeight="1">
      <c r="A15" s="280" t="s">
        <v>12</v>
      </c>
      <c r="B15" s="281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23"/>
      <c r="P15" s="230"/>
      <c r="Q15" s="224"/>
      <c r="S15" s="55" t="s">
        <v>19</v>
      </c>
      <c r="T15" s="56"/>
      <c r="U15" s="56"/>
      <c r="V15" s="56"/>
      <c r="W15" s="33"/>
    </row>
    <row r="16" spans="1:23" ht="12" customHeight="1" thickBot="1">
      <c r="A16" s="278" t="s">
        <v>13</v>
      </c>
      <c r="B16" s="279"/>
      <c r="C16" s="223">
        <f>ROUNDDOWN(C8*C12,0)</f>
        <v>0</v>
      </c>
      <c r="D16" s="223">
        <f aca="true" t="shared" si="0" ref="D16:N16">ROUNDDOWN(D8*D12,0)</f>
        <v>0</v>
      </c>
      <c r="E16" s="223">
        <f t="shared" si="0"/>
        <v>0</v>
      </c>
      <c r="F16" s="223">
        <f>ROUNDDOWN(F8*F12,0)</f>
        <v>450000</v>
      </c>
      <c r="G16" s="223">
        <f t="shared" si="0"/>
        <v>1000000</v>
      </c>
      <c r="H16" s="223">
        <f t="shared" si="0"/>
        <v>1500000</v>
      </c>
      <c r="I16" s="223">
        <f t="shared" si="0"/>
        <v>1400000</v>
      </c>
      <c r="J16" s="223">
        <f t="shared" si="0"/>
        <v>550000</v>
      </c>
      <c r="K16" s="223">
        <f t="shared" si="0"/>
        <v>100000</v>
      </c>
      <c r="L16" s="223">
        <f t="shared" si="0"/>
        <v>0</v>
      </c>
      <c r="M16" s="223">
        <f t="shared" si="0"/>
        <v>0</v>
      </c>
      <c r="N16" s="223">
        <f t="shared" si="0"/>
        <v>0</v>
      </c>
      <c r="O16" s="282">
        <f>SUM(C16:N17)</f>
        <v>5000000</v>
      </c>
      <c r="P16" s="223">
        <f>ROUNDDOWN(P8*P12,0)</f>
        <v>475000</v>
      </c>
      <c r="Q16" s="224">
        <f>O16+P16</f>
        <v>5475000</v>
      </c>
      <c r="S16" s="57" t="str">
        <f>IF(O4&gt;Q8,"【購入数量≦対象数量】のため、乙の購入金額を採用","【購入数量＞対象数量】のため、乙の購入金額を調整")</f>
        <v>【購入数量＞対象数量】のため、乙の購入金額を調整</v>
      </c>
      <c r="T16" s="58"/>
      <c r="U16" s="58"/>
      <c r="V16" s="58"/>
      <c r="W16" s="34"/>
    </row>
    <row r="17" spans="1:19" ht="12" customHeight="1" thickBot="1">
      <c r="A17" s="280" t="s">
        <v>14</v>
      </c>
      <c r="B17" s="281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82"/>
      <c r="P17" s="223"/>
      <c r="Q17" s="224"/>
      <c r="R17" s="6" t="s">
        <v>20</v>
      </c>
      <c r="S17" s="54">
        <f>IF(O4&gt;Q8,Q16,IF(Q8=0,0,ROUNDDOWN(O4/Q8*Q16,0)))</f>
        <v>5475000</v>
      </c>
    </row>
    <row r="18" spans="1:21" ht="12" customHeight="1" thickBot="1">
      <c r="A18" s="278" t="s">
        <v>13</v>
      </c>
      <c r="B18" s="279"/>
      <c r="C18" s="223">
        <f>ROUNDDOWN(C10*C12,0)</f>
        <v>0</v>
      </c>
      <c r="D18" s="223">
        <f aca="true" t="shared" si="1" ref="D18:N18">ROUNDDOWN(D10*D12,0)</f>
        <v>0</v>
      </c>
      <c r="E18" s="223">
        <f t="shared" si="1"/>
        <v>0</v>
      </c>
      <c r="F18" s="223">
        <f t="shared" si="1"/>
        <v>90000</v>
      </c>
      <c r="G18" s="223">
        <f t="shared" si="1"/>
        <v>0</v>
      </c>
      <c r="H18" s="223">
        <f t="shared" si="1"/>
        <v>0</v>
      </c>
      <c r="I18" s="223">
        <f t="shared" si="1"/>
        <v>150000</v>
      </c>
      <c r="J18" s="223">
        <f t="shared" si="1"/>
        <v>55000</v>
      </c>
      <c r="K18" s="223">
        <f t="shared" si="1"/>
        <v>0</v>
      </c>
      <c r="L18" s="223">
        <f t="shared" si="1"/>
        <v>0</v>
      </c>
      <c r="M18" s="223">
        <f t="shared" si="1"/>
        <v>0</v>
      </c>
      <c r="N18" s="223">
        <f t="shared" si="1"/>
        <v>0</v>
      </c>
      <c r="O18" s="223">
        <f>SUM(C18:N19)</f>
        <v>295000</v>
      </c>
      <c r="P18" s="283">
        <f>ROUNDDOWN(P10*P12,0)</f>
        <v>0</v>
      </c>
      <c r="Q18" s="224">
        <f>O18+P18</f>
        <v>295000</v>
      </c>
      <c r="R18" s="6"/>
      <c r="U18" s="48">
        <f>S17+S19</f>
        <v>5770000</v>
      </c>
    </row>
    <row r="19" spans="1:19" ht="12" customHeight="1" thickBot="1">
      <c r="A19" s="280" t="s">
        <v>15</v>
      </c>
      <c r="B19" s="281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84"/>
      <c r="Q19" s="224"/>
      <c r="R19" s="6" t="s">
        <v>20</v>
      </c>
      <c r="S19" s="48">
        <f>IF(O5&gt;=Q10,Q18,ROUNDDOWN(O5/Q10*Q18,0))</f>
        <v>295000</v>
      </c>
    </row>
    <row r="20" spans="1:17" ht="12" customHeight="1">
      <c r="A20" s="278" t="s">
        <v>16</v>
      </c>
      <c r="B20" s="279"/>
      <c r="C20" s="223">
        <f>ROUNDDOWN((C8+C10)*C14,0)</f>
        <v>0</v>
      </c>
      <c r="D20" s="223">
        <f aca="true" t="shared" si="2" ref="D20:N20">ROUNDDOWN((D8+D10)*D14,0)</f>
        <v>0</v>
      </c>
      <c r="E20" s="223">
        <f t="shared" si="2"/>
        <v>0</v>
      </c>
      <c r="F20" s="223">
        <f>ROUNDDOWN((F8+F10)*F14,0)</f>
        <v>540000</v>
      </c>
      <c r="G20" s="223">
        <f t="shared" si="2"/>
        <v>900000</v>
      </c>
      <c r="H20" s="223">
        <f t="shared" si="2"/>
        <v>1500000</v>
      </c>
      <c r="I20" s="223">
        <f>ROUNDDOWN((I8+I10)*I14,0)</f>
        <v>1705000</v>
      </c>
      <c r="J20" s="223">
        <f t="shared" si="2"/>
        <v>660000</v>
      </c>
      <c r="K20" s="223">
        <f t="shared" si="2"/>
        <v>110000</v>
      </c>
      <c r="L20" s="223">
        <f t="shared" si="2"/>
        <v>0</v>
      </c>
      <c r="M20" s="223">
        <f t="shared" si="2"/>
        <v>0</v>
      </c>
      <c r="N20" s="223">
        <f t="shared" si="2"/>
        <v>0</v>
      </c>
      <c r="O20" s="223">
        <f>SUM(C20:N21)</f>
        <v>5415000</v>
      </c>
      <c r="P20" s="223">
        <f>ROUNDDOWN((P8+P10)*P14,0)</f>
        <v>475000</v>
      </c>
      <c r="Q20" s="224">
        <f>O20+P20</f>
        <v>5890000</v>
      </c>
    </row>
    <row r="21" spans="1:17" ht="12" customHeight="1" thickBot="1">
      <c r="A21" s="280" t="s">
        <v>17</v>
      </c>
      <c r="B21" s="281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85"/>
    </row>
    <row r="22" spans="1:17" ht="10.5" customHeight="1">
      <c r="A22" s="312" t="s">
        <v>0</v>
      </c>
      <c r="B22" s="313"/>
      <c r="C22" s="288" t="s">
        <v>58</v>
      </c>
      <c r="D22" s="263"/>
      <c r="E22" s="263"/>
      <c r="F22" s="263"/>
      <c r="G22" s="263"/>
      <c r="H22" s="263"/>
      <c r="I22" s="263">
        <f>Q20</f>
        <v>5890000</v>
      </c>
      <c r="J22" s="263"/>
      <c r="K22" s="263" t="s">
        <v>57</v>
      </c>
      <c r="L22" s="272">
        <f>Q8</f>
        <v>55000</v>
      </c>
      <c r="M22" s="263" t="s">
        <v>59</v>
      </c>
      <c r="N22" s="265">
        <f>Q10</f>
        <v>3000</v>
      </c>
      <c r="O22" s="274" t="s">
        <v>41</v>
      </c>
      <c r="P22" s="267"/>
      <c r="Q22" s="276">
        <f>ROUND(I22/(L22+N22),0)</f>
        <v>102</v>
      </c>
    </row>
    <row r="23" spans="1:20" ht="10.5" customHeight="1" thickBot="1">
      <c r="A23" s="314"/>
      <c r="B23" s="315"/>
      <c r="C23" s="289"/>
      <c r="D23" s="264"/>
      <c r="E23" s="264"/>
      <c r="F23" s="264"/>
      <c r="G23" s="264"/>
      <c r="H23" s="264"/>
      <c r="I23" s="264"/>
      <c r="J23" s="264"/>
      <c r="K23" s="264"/>
      <c r="L23" s="273"/>
      <c r="M23" s="264"/>
      <c r="N23" s="266"/>
      <c r="O23" s="264"/>
      <c r="P23" s="268"/>
      <c r="Q23" s="277"/>
      <c r="T23" s="3"/>
    </row>
    <row r="24" ht="12" thickBot="1">
      <c r="T24" s="3"/>
    </row>
    <row r="25" spans="3:17" ht="13.5" customHeight="1">
      <c r="C25" s="59"/>
      <c r="D25" s="59"/>
      <c r="E25" s="59"/>
      <c r="F25" s="59"/>
      <c r="G25" s="61"/>
      <c r="H25" s="308" t="s">
        <v>50</v>
      </c>
      <c r="I25" s="308"/>
      <c r="J25" s="308"/>
      <c r="K25" s="308"/>
      <c r="L25" s="308"/>
      <c r="M25" s="308"/>
      <c r="N25" s="31" t="s">
        <v>41</v>
      </c>
      <c r="O25" s="305">
        <v>8000</v>
      </c>
      <c r="P25" s="305"/>
      <c r="Q25" s="44" t="s">
        <v>51</v>
      </c>
    </row>
    <row r="26" spans="3:17" ht="14.25" customHeight="1" thickBot="1">
      <c r="C26" s="60"/>
      <c r="D26" s="60"/>
      <c r="E26" s="60"/>
      <c r="F26" s="60"/>
      <c r="G26" s="62"/>
      <c r="H26" s="302" t="s">
        <v>53</v>
      </c>
      <c r="I26" s="302"/>
      <c r="J26" s="302"/>
      <c r="K26" s="302"/>
      <c r="L26" s="302"/>
      <c r="M26" s="302"/>
      <c r="N26" s="32" t="s">
        <v>41</v>
      </c>
      <c r="O26" s="303">
        <v>1000</v>
      </c>
      <c r="P26" s="304"/>
      <c r="Q26" s="45" t="s">
        <v>52</v>
      </c>
    </row>
    <row r="27" spans="1:17" ht="18" customHeight="1">
      <c r="A27" s="316" t="s">
        <v>66</v>
      </c>
      <c r="B27" s="297" t="s">
        <v>60</v>
      </c>
      <c r="C27" s="299" t="s">
        <v>1</v>
      </c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1"/>
      <c r="P27" s="24" t="s">
        <v>2</v>
      </c>
      <c r="Q27" s="25" t="s">
        <v>2</v>
      </c>
    </row>
    <row r="28" spans="1:19" ht="12" thickBot="1">
      <c r="A28" s="317"/>
      <c r="B28" s="298"/>
      <c r="C28" s="22">
        <f>C7</f>
        <v>10</v>
      </c>
      <c r="D28" s="22">
        <f aca="true" t="shared" si="3" ref="D28:N28">D7</f>
        <v>11</v>
      </c>
      <c r="E28" s="22">
        <f t="shared" si="3"/>
        <v>12</v>
      </c>
      <c r="F28" s="22">
        <f t="shared" si="3"/>
        <v>1</v>
      </c>
      <c r="G28" s="22">
        <f t="shared" si="3"/>
        <v>2</v>
      </c>
      <c r="H28" s="22">
        <f t="shared" si="3"/>
        <v>3</v>
      </c>
      <c r="I28" s="22">
        <f t="shared" si="3"/>
        <v>4</v>
      </c>
      <c r="J28" s="22">
        <f t="shared" si="3"/>
        <v>5</v>
      </c>
      <c r="K28" s="22">
        <f t="shared" si="3"/>
        <v>6</v>
      </c>
      <c r="L28" s="22">
        <f t="shared" si="3"/>
        <v>7</v>
      </c>
      <c r="M28" s="22">
        <f t="shared" si="3"/>
        <v>8</v>
      </c>
      <c r="N28" s="22">
        <f t="shared" si="3"/>
        <v>9</v>
      </c>
      <c r="O28" s="23" t="s">
        <v>21</v>
      </c>
      <c r="P28" s="26" t="s">
        <v>3</v>
      </c>
      <c r="Q28" s="27" t="s">
        <v>4</v>
      </c>
      <c r="S28" s="28" t="s">
        <v>56</v>
      </c>
    </row>
    <row r="29" spans="1:20" ht="12" customHeight="1">
      <c r="A29" s="278" t="s">
        <v>6</v>
      </c>
      <c r="B29" s="279"/>
      <c r="C29" s="230"/>
      <c r="D29" s="230"/>
      <c r="E29" s="230"/>
      <c r="F29" s="230">
        <v>1000</v>
      </c>
      <c r="G29" s="230">
        <v>2000</v>
      </c>
      <c r="H29" s="230">
        <v>3000</v>
      </c>
      <c r="I29" s="230">
        <v>2800</v>
      </c>
      <c r="J29" s="230">
        <v>1000</v>
      </c>
      <c r="K29" s="230">
        <v>200</v>
      </c>
      <c r="L29" s="230"/>
      <c r="M29" s="230"/>
      <c r="N29" s="230"/>
      <c r="O29" s="223">
        <f>SUM(C29:N30)</f>
        <v>10000</v>
      </c>
      <c r="P29" s="230">
        <v>0</v>
      </c>
      <c r="Q29" s="224">
        <f>O29+P29</f>
        <v>10000</v>
      </c>
      <c r="R29" s="296" t="s">
        <v>18</v>
      </c>
      <c r="S29" s="294" t="str">
        <f>IF(O$25&gt;Q$29,"購入数量を採用","積算ｼｽﾃﾑの数量を採用")</f>
        <v>積算ｼｽﾃﾑの数量を採用</v>
      </c>
      <c r="T29" s="295"/>
    </row>
    <row r="30" spans="1:20" ht="12" customHeight="1" thickBot="1">
      <c r="A30" s="280" t="s">
        <v>5</v>
      </c>
      <c r="B30" s="281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23"/>
      <c r="P30" s="230"/>
      <c r="Q30" s="224"/>
      <c r="R30" s="296"/>
      <c r="S30" s="46">
        <f>MIN(O25,Q29)</f>
        <v>8000</v>
      </c>
      <c r="T30" s="35" t="s">
        <v>49</v>
      </c>
    </row>
    <row r="31" spans="1:20" ht="12" customHeight="1">
      <c r="A31" s="278" t="s">
        <v>8</v>
      </c>
      <c r="B31" s="279"/>
      <c r="C31" s="230"/>
      <c r="D31" s="230"/>
      <c r="E31" s="230"/>
      <c r="F31" s="230"/>
      <c r="G31" s="230">
        <v>500</v>
      </c>
      <c r="H31" s="230">
        <v>1000</v>
      </c>
      <c r="I31" s="230">
        <v>500</v>
      </c>
      <c r="J31" s="230"/>
      <c r="K31" s="230"/>
      <c r="L31" s="230"/>
      <c r="M31" s="230"/>
      <c r="N31" s="230"/>
      <c r="O31" s="223">
        <f>SUM(C31:N32)</f>
        <v>2000</v>
      </c>
      <c r="P31" s="286"/>
      <c r="Q31" s="224">
        <f>O31+P31</f>
        <v>2000</v>
      </c>
      <c r="R31" s="6"/>
      <c r="S31" s="294" t="str">
        <f>IF(O$25&gt;Q$29,"購入数量を採用","積算ｼｽﾃﾑの数量を採用")</f>
        <v>積算ｼｽﾃﾑの数量を採用</v>
      </c>
      <c r="T31" s="295"/>
    </row>
    <row r="32" spans="1:20" ht="12" customHeight="1" thickBot="1">
      <c r="A32" s="280" t="s">
        <v>7</v>
      </c>
      <c r="B32" s="281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23"/>
      <c r="P32" s="287"/>
      <c r="Q32" s="224"/>
      <c r="R32" s="6" t="s">
        <v>18</v>
      </c>
      <c r="S32" s="47">
        <f>MIN(O26,Q31)</f>
        <v>1000</v>
      </c>
      <c r="T32" s="35" t="s">
        <v>49</v>
      </c>
    </row>
    <row r="33" spans="1:17" ht="12" customHeight="1">
      <c r="A33" s="278" t="s">
        <v>9</v>
      </c>
      <c r="B33" s="279"/>
      <c r="C33" s="230">
        <v>100</v>
      </c>
      <c r="D33" s="230">
        <v>120</v>
      </c>
      <c r="E33" s="230">
        <v>130</v>
      </c>
      <c r="F33" s="230">
        <v>110</v>
      </c>
      <c r="G33" s="230">
        <v>120</v>
      </c>
      <c r="H33" s="230">
        <v>140</v>
      </c>
      <c r="I33" s="230">
        <v>160</v>
      </c>
      <c r="J33" s="230">
        <v>160</v>
      </c>
      <c r="K33" s="230">
        <v>180</v>
      </c>
      <c r="L33" s="230"/>
      <c r="M33" s="230"/>
      <c r="N33" s="230"/>
      <c r="O33" s="223"/>
      <c r="P33" s="230"/>
      <c r="Q33" s="224"/>
    </row>
    <row r="34" spans="1:17" ht="12" customHeight="1">
      <c r="A34" s="280" t="s">
        <v>10</v>
      </c>
      <c r="B34" s="281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23"/>
      <c r="P34" s="230"/>
      <c r="Q34" s="224"/>
    </row>
    <row r="35" spans="1:17" ht="12" customHeight="1" thickBot="1">
      <c r="A35" s="278" t="s">
        <v>11</v>
      </c>
      <c r="B35" s="279"/>
      <c r="C35" s="230">
        <v>110</v>
      </c>
      <c r="D35" s="230">
        <v>120</v>
      </c>
      <c r="E35" s="230">
        <v>140</v>
      </c>
      <c r="F35" s="230">
        <v>110</v>
      </c>
      <c r="G35" s="230">
        <v>110</v>
      </c>
      <c r="H35" s="230">
        <v>130</v>
      </c>
      <c r="I35" s="230">
        <v>170</v>
      </c>
      <c r="J35" s="230">
        <v>170</v>
      </c>
      <c r="K35" s="230">
        <v>170</v>
      </c>
      <c r="L35" s="230"/>
      <c r="M35" s="230"/>
      <c r="N35" s="230"/>
      <c r="O35" s="223"/>
      <c r="P35" s="230"/>
      <c r="Q35" s="224"/>
    </row>
    <row r="36" spans="1:23" ht="12" customHeight="1">
      <c r="A36" s="280" t="s">
        <v>12</v>
      </c>
      <c r="B36" s="28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23"/>
      <c r="P36" s="230"/>
      <c r="Q36" s="224"/>
      <c r="S36" s="55" t="s">
        <v>19</v>
      </c>
      <c r="T36" s="56"/>
      <c r="U36" s="56"/>
      <c r="V36" s="56"/>
      <c r="W36" s="33"/>
    </row>
    <row r="37" spans="1:23" ht="12" customHeight="1" thickBot="1">
      <c r="A37" s="278" t="s">
        <v>13</v>
      </c>
      <c r="B37" s="279"/>
      <c r="C37" s="223">
        <f>ROUNDDOWN(C29*C33,0)</f>
        <v>0</v>
      </c>
      <c r="D37" s="223">
        <f aca="true" t="shared" si="4" ref="D37:N37">ROUNDDOWN(D29*D33,0)</f>
        <v>0</v>
      </c>
      <c r="E37" s="223">
        <f t="shared" si="4"/>
        <v>0</v>
      </c>
      <c r="F37" s="223">
        <f t="shared" si="4"/>
        <v>110000</v>
      </c>
      <c r="G37" s="223">
        <f t="shared" si="4"/>
        <v>240000</v>
      </c>
      <c r="H37" s="223">
        <f t="shared" si="4"/>
        <v>420000</v>
      </c>
      <c r="I37" s="223">
        <f t="shared" si="4"/>
        <v>448000</v>
      </c>
      <c r="J37" s="223">
        <f t="shared" si="4"/>
        <v>160000</v>
      </c>
      <c r="K37" s="223">
        <f t="shared" si="4"/>
        <v>36000</v>
      </c>
      <c r="L37" s="223">
        <f t="shared" si="4"/>
        <v>0</v>
      </c>
      <c r="M37" s="223">
        <f t="shared" si="4"/>
        <v>0</v>
      </c>
      <c r="N37" s="223">
        <f t="shared" si="4"/>
        <v>0</v>
      </c>
      <c r="O37" s="223">
        <f>SUM(C37:N38)</f>
        <v>1414000</v>
      </c>
      <c r="P37" s="275">
        <f>ROUNDDOWN(P29*P33,0)</f>
        <v>0</v>
      </c>
      <c r="Q37" s="224">
        <f>O37+P37</f>
        <v>1414000</v>
      </c>
      <c r="S37" s="57" t="str">
        <f>IF(O25&gt;Q29,"【購入数量≦対象数量】のため、乙の購入金額を採用","【購入数量＞対象数量】のため、乙の購入金額を調整")</f>
        <v>【購入数量＞対象数量】のため、乙の購入金額を調整</v>
      </c>
      <c r="T37" s="58"/>
      <c r="U37" s="58"/>
      <c r="V37" s="58"/>
      <c r="W37" s="34"/>
    </row>
    <row r="38" spans="1:19" ht="12" customHeight="1" thickBot="1">
      <c r="A38" s="280" t="s">
        <v>14</v>
      </c>
      <c r="B38" s="281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93"/>
      <c r="Q38" s="224"/>
      <c r="R38" s="6" t="s">
        <v>90</v>
      </c>
      <c r="S38" s="54">
        <f>IF(O25&gt;Q29,Q37,IF(Q29=0,0,ROUNDDOWN(O25/Q29*Q37,0)))</f>
        <v>1131200</v>
      </c>
    </row>
    <row r="39" spans="1:21" ht="12" customHeight="1" thickBot="1">
      <c r="A39" s="278" t="s">
        <v>13</v>
      </c>
      <c r="B39" s="279"/>
      <c r="C39" s="223">
        <f>ROUNDDOWN(C31*C33,0)</f>
        <v>0</v>
      </c>
      <c r="D39" s="223">
        <f aca="true" t="shared" si="5" ref="D39:N39">ROUNDDOWN(D31*D33,0)</f>
        <v>0</v>
      </c>
      <c r="E39" s="223">
        <f t="shared" si="5"/>
        <v>0</v>
      </c>
      <c r="F39" s="223">
        <f t="shared" si="5"/>
        <v>0</v>
      </c>
      <c r="G39" s="223">
        <f t="shared" si="5"/>
        <v>60000</v>
      </c>
      <c r="H39" s="223">
        <f t="shared" si="5"/>
        <v>140000</v>
      </c>
      <c r="I39" s="223">
        <f t="shared" si="5"/>
        <v>80000</v>
      </c>
      <c r="J39" s="223">
        <f t="shared" si="5"/>
        <v>0</v>
      </c>
      <c r="K39" s="223">
        <f t="shared" si="5"/>
        <v>0</v>
      </c>
      <c r="L39" s="223">
        <f t="shared" si="5"/>
        <v>0</v>
      </c>
      <c r="M39" s="223">
        <f t="shared" si="5"/>
        <v>0</v>
      </c>
      <c r="N39" s="223">
        <f t="shared" si="5"/>
        <v>0</v>
      </c>
      <c r="O39" s="223">
        <f>SUM(C39:N40)</f>
        <v>280000</v>
      </c>
      <c r="P39" s="283">
        <f>ROUNDDOWN(P31*P33,0)</f>
        <v>0</v>
      </c>
      <c r="Q39" s="224">
        <f>O39+P39</f>
        <v>280000</v>
      </c>
      <c r="R39" s="6"/>
      <c r="U39" s="48">
        <f>S38+S40</f>
        <v>1271200</v>
      </c>
    </row>
    <row r="40" spans="1:19" ht="12" customHeight="1" thickBot="1">
      <c r="A40" s="280" t="s">
        <v>15</v>
      </c>
      <c r="B40" s="281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84"/>
      <c r="Q40" s="224"/>
      <c r="R40" s="6" t="s">
        <v>90</v>
      </c>
      <c r="S40" s="48">
        <f>IF(O26&gt;=Q31,Q39,ROUNDDOWN(O26/Q31*Q39,0))</f>
        <v>140000</v>
      </c>
    </row>
    <row r="41" spans="1:17" ht="12" customHeight="1">
      <c r="A41" s="278" t="s">
        <v>16</v>
      </c>
      <c r="B41" s="279"/>
      <c r="C41" s="223">
        <f>ROUNDDOWN((C29+C31)*C35,0)</f>
        <v>0</v>
      </c>
      <c r="D41" s="223">
        <f aca="true" t="shared" si="6" ref="D41:N41">ROUNDDOWN((D29+D31)*D35,0)</f>
        <v>0</v>
      </c>
      <c r="E41" s="223">
        <f t="shared" si="6"/>
        <v>0</v>
      </c>
      <c r="F41" s="223">
        <f t="shared" si="6"/>
        <v>110000</v>
      </c>
      <c r="G41" s="223">
        <f t="shared" si="6"/>
        <v>275000</v>
      </c>
      <c r="H41" s="223">
        <f t="shared" si="6"/>
        <v>520000</v>
      </c>
      <c r="I41" s="223">
        <f t="shared" si="6"/>
        <v>561000</v>
      </c>
      <c r="J41" s="223">
        <f t="shared" si="6"/>
        <v>170000</v>
      </c>
      <c r="K41" s="223">
        <f t="shared" si="6"/>
        <v>34000</v>
      </c>
      <c r="L41" s="223">
        <f t="shared" si="6"/>
        <v>0</v>
      </c>
      <c r="M41" s="223">
        <f t="shared" si="6"/>
        <v>0</v>
      </c>
      <c r="N41" s="223">
        <f t="shared" si="6"/>
        <v>0</v>
      </c>
      <c r="O41" s="223">
        <f>SUM(C41:N42)</f>
        <v>1670000</v>
      </c>
      <c r="P41" s="223">
        <f>ROUNDDOWN((P29+P31)*P35,0)</f>
        <v>0</v>
      </c>
      <c r="Q41" s="224">
        <f>O41+P41</f>
        <v>1670000</v>
      </c>
    </row>
    <row r="42" spans="1:17" ht="12" customHeight="1" thickBot="1">
      <c r="A42" s="280" t="s">
        <v>17</v>
      </c>
      <c r="B42" s="281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85"/>
    </row>
    <row r="43" spans="1:17" ht="10.5" customHeight="1">
      <c r="A43" s="312" t="s">
        <v>0</v>
      </c>
      <c r="B43" s="313"/>
      <c r="C43" s="288" t="s">
        <v>91</v>
      </c>
      <c r="D43" s="263"/>
      <c r="E43" s="263"/>
      <c r="F43" s="263"/>
      <c r="G43" s="263"/>
      <c r="H43" s="263"/>
      <c r="I43" s="263">
        <f>Q41</f>
        <v>1670000</v>
      </c>
      <c r="J43" s="263"/>
      <c r="K43" s="263" t="s">
        <v>92</v>
      </c>
      <c r="L43" s="272">
        <f>Q29</f>
        <v>10000</v>
      </c>
      <c r="M43" s="263" t="s">
        <v>93</v>
      </c>
      <c r="N43" s="265">
        <f>Q31</f>
        <v>2000</v>
      </c>
      <c r="O43" s="274" t="s">
        <v>89</v>
      </c>
      <c r="P43" s="267"/>
      <c r="Q43" s="276">
        <f>ROUND(I43/(L43+N43),0)</f>
        <v>139</v>
      </c>
    </row>
    <row r="44" spans="1:20" ht="10.5" customHeight="1" thickBot="1">
      <c r="A44" s="314"/>
      <c r="B44" s="315"/>
      <c r="C44" s="289"/>
      <c r="D44" s="264"/>
      <c r="E44" s="264"/>
      <c r="F44" s="264"/>
      <c r="G44" s="264"/>
      <c r="H44" s="264"/>
      <c r="I44" s="264"/>
      <c r="J44" s="264"/>
      <c r="K44" s="264"/>
      <c r="L44" s="273"/>
      <c r="M44" s="264"/>
      <c r="N44" s="266"/>
      <c r="O44" s="264"/>
      <c r="P44" s="268"/>
      <c r="Q44" s="277"/>
      <c r="T44" s="3"/>
    </row>
    <row r="45" ht="11.25"/>
    <row r="46" ht="12" thickBot="1">
      <c r="A46" s="1" t="s">
        <v>22</v>
      </c>
    </row>
    <row r="47" spans="1:12" ht="13.5" customHeight="1">
      <c r="A47" s="321" t="s">
        <v>24</v>
      </c>
      <c r="B47" s="322"/>
      <c r="C47" s="90" t="s">
        <v>61</v>
      </c>
      <c r="D47" s="88" t="str">
        <f>B6</f>
        <v>軽油</v>
      </c>
      <c r="E47" s="91">
        <v>80</v>
      </c>
      <c r="F47" s="89" t="s">
        <v>64</v>
      </c>
      <c r="G47" s="89" t="str">
        <f>B27</f>
        <v>ガソリン</v>
      </c>
      <c r="H47" s="91">
        <v>110</v>
      </c>
      <c r="I47" s="89" t="s">
        <v>31</v>
      </c>
      <c r="J47" s="92"/>
      <c r="K47" s="92"/>
      <c r="L47" s="93"/>
    </row>
    <row r="48" spans="1:12" ht="13.5" customHeight="1">
      <c r="A48" s="199" t="s">
        <v>25</v>
      </c>
      <c r="B48" s="319"/>
      <c r="C48" s="53" t="s">
        <v>62</v>
      </c>
      <c r="D48" s="66" t="str">
        <f>D47</f>
        <v>軽油</v>
      </c>
      <c r="E48" s="67">
        <f>Q22</f>
        <v>102</v>
      </c>
      <c r="F48" s="63" t="s">
        <v>64</v>
      </c>
      <c r="G48" s="63" t="str">
        <f>G47</f>
        <v>ガソリン</v>
      </c>
      <c r="H48" s="67">
        <f>Q43</f>
        <v>139</v>
      </c>
      <c r="I48" s="63" t="s">
        <v>31</v>
      </c>
      <c r="J48" s="64"/>
      <c r="K48" s="64"/>
      <c r="L48" s="65"/>
    </row>
    <row r="49" spans="1:13" ht="13.5" customHeight="1">
      <c r="A49" s="199" t="s">
        <v>26</v>
      </c>
      <c r="B49" s="319"/>
      <c r="C49" s="68">
        <f>Q22</f>
        <v>102</v>
      </c>
      <c r="D49" s="29" t="s">
        <v>65</v>
      </c>
      <c r="E49" s="69">
        <f>S9</f>
        <v>55000</v>
      </c>
      <c r="F49" s="70">
        <f>S11</f>
        <v>3000</v>
      </c>
      <c r="G49" s="71">
        <f>Q43</f>
        <v>139</v>
      </c>
      <c r="H49" s="72">
        <f>S30</f>
        <v>8000</v>
      </c>
      <c r="I49" s="73">
        <f>S32</f>
        <v>1000</v>
      </c>
      <c r="J49" s="102">
        <f>'鏡'!I13</f>
        <v>0.9</v>
      </c>
      <c r="K49" s="74">
        <v>1.08</v>
      </c>
      <c r="L49" s="75">
        <f>ROUNDDOWN((C49*(E49+F49)+G49*(H49+I49))*J49*K49,0)</f>
        <v>6966324</v>
      </c>
      <c r="M49" s="52"/>
    </row>
    <row r="50" spans="1:12" ht="13.5" customHeight="1">
      <c r="A50" s="199" t="s">
        <v>27</v>
      </c>
      <c r="B50" s="319"/>
      <c r="C50" s="292">
        <f>U18</f>
        <v>5770000</v>
      </c>
      <c r="D50" s="291"/>
      <c r="E50" s="63" t="s">
        <v>59</v>
      </c>
      <c r="F50" s="290">
        <f>U39</f>
        <v>1271200</v>
      </c>
      <c r="G50" s="291"/>
      <c r="H50" s="77" t="s">
        <v>41</v>
      </c>
      <c r="I50" s="290">
        <f>C50+F50</f>
        <v>7041200</v>
      </c>
      <c r="J50" s="291"/>
      <c r="K50" s="64"/>
      <c r="L50" s="65"/>
    </row>
    <row r="51" spans="1:12" ht="13.5" customHeight="1">
      <c r="A51" s="199" t="s">
        <v>28</v>
      </c>
      <c r="B51" s="319"/>
      <c r="C51" s="81">
        <f>E47</f>
        <v>80</v>
      </c>
      <c r="D51" s="63" t="s">
        <v>65</v>
      </c>
      <c r="E51" s="76">
        <f>S9</f>
        <v>55000</v>
      </c>
      <c r="F51" s="82">
        <f>S11</f>
        <v>3000</v>
      </c>
      <c r="G51" s="83">
        <f>H47</f>
        <v>110</v>
      </c>
      <c r="H51" s="84">
        <f>S30</f>
        <v>8000</v>
      </c>
      <c r="I51" s="85">
        <f>S32</f>
        <v>1000</v>
      </c>
      <c r="J51" s="103">
        <f>'鏡'!I13</f>
        <v>0.9</v>
      </c>
      <c r="K51" s="86">
        <v>1.08</v>
      </c>
      <c r="L51" s="94">
        <f>ROUNDDOWN((C51*(E51+F51)+G51*(H51+I51))*J51*K51,0)</f>
        <v>5472360</v>
      </c>
    </row>
    <row r="52" spans="1:12" ht="13.5" customHeight="1" thickBot="1">
      <c r="A52" s="239" t="s">
        <v>29</v>
      </c>
      <c r="B52" s="320"/>
      <c r="C52" s="269">
        <f>MIN(L49,I50)</f>
        <v>6966324</v>
      </c>
      <c r="D52" s="270"/>
      <c r="E52" s="36" t="s">
        <v>67</v>
      </c>
      <c r="F52" s="271">
        <f>L51</f>
        <v>5472360</v>
      </c>
      <c r="G52" s="270"/>
      <c r="H52" s="32" t="s">
        <v>41</v>
      </c>
      <c r="I52" s="271">
        <f>C52-F52</f>
        <v>1493964</v>
      </c>
      <c r="J52" s="270"/>
      <c r="K52" s="270"/>
      <c r="L52" s="318"/>
    </row>
  </sheetData>
  <sheetProtection/>
  <mergeCells count="292">
    <mergeCell ref="K52:L52"/>
    <mergeCell ref="A2:K2"/>
    <mergeCell ref="A51:B51"/>
    <mergeCell ref="A52:B52"/>
    <mergeCell ref="A42:B42"/>
    <mergeCell ref="A43:B44"/>
    <mergeCell ref="A47:B47"/>
    <mergeCell ref="A48:B48"/>
    <mergeCell ref="A49:B49"/>
    <mergeCell ref="A50:B50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2:B23"/>
    <mergeCell ref="A6:A7"/>
    <mergeCell ref="A27:A28"/>
    <mergeCell ref="A29:B29"/>
    <mergeCell ref="A18:B18"/>
    <mergeCell ref="A19:B19"/>
    <mergeCell ref="A20:B20"/>
    <mergeCell ref="A21:B21"/>
    <mergeCell ref="B6:B7"/>
    <mergeCell ref="A8:B8"/>
    <mergeCell ref="S8:T8"/>
    <mergeCell ref="S10:T10"/>
    <mergeCell ref="C6:O6"/>
    <mergeCell ref="J10:J11"/>
    <mergeCell ref="K10:K11"/>
    <mergeCell ref="L10:L11"/>
    <mergeCell ref="C22:H23"/>
    <mergeCell ref="I22:J23"/>
    <mergeCell ref="R8:R9"/>
    <mergeCell ref="H8:H9"/>
    <mergeCell ref="I8:I9"/>
    <mergeCell ref="J8:J9"/>
    <mergeCell ref="K8:K9"/>
    <mergeCell ref="L8:L9"/>
    <mergeCell ref="Q8:Q9"/>
    <mergeCell ref="I10:I11"/>
    <mergeCell ref="O4:P4"/>
    <mergeCell ref="O5:P5"/>
    <mergeCell ref="H4:M4"/>
    <mergeCell ref="H5:M5"/>
    <mergeCell ref="A9:B9"/>
    <mergeCell ref="H25:M25"/>
    <mergeCell ref="O25:P25"/>
    <mergeCell ref="F10:F11"/>
    <mergeCell ref="G10:G11"/>
    <mergeCell ref="H10:H11"/>
    <mergeCell ref="H26:M26"/>
    <mergeCell ref="O26:P26"/>
    <mergeCell ref="C8:C9"/>
    <mergeCell ref="D8:D9"/>
    <mergeCell ref="E8:E9"/>
    <mergeCell ref="F8:F9"/>
    <mergeCell ref="G8:G9"/>
    <mergeCell ref="C10:C11"/>
    <mergeCell ref="D10:D11"/>
    <mergeCell ref="E10:E11"/>
    <mergeCell ref="B27:B28"/>
    <mergeCell ref="C27:O27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T29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S31:T31"/>
    <mergeCell ref="C33:C34"/>
    <mergeCell ref="D33:D34"/>
    <mergeCell ref="E33:E34"/>
    <mergeCell ref="F33:F34"/>
    <mergeCell ref="G33:G34"/>
    <mergeCell ref="H33:H34"/>
    <mergeCell ref="I33:I34"/>
    <mergeCell ref="Q33:Q34"/>
    <mergeCell ref="C35:C36"/>
    <mergeCell ref="D35:D36"/>
    <mergeCell ref="E35:E36"/>
    <mergeCell ref="F35:F36"/>
    <mergeCell ref="G35:G36"/>
    <mergeCell ref="J33:J34"/>
    <mergeCell ref="K33:K34"/>
    <mergeCell ref="L33:L34"/>
    <mergeCell ref="M33:M34"/>
    <mergeCell ref="L37:L38"/>
    <mergeCell ref="M37:M38"/>
    <mergeCell ref="N35:N36"/>
    <mergeCell ref="O35:O36"/>
    <mergeCell ref="P35:P36"/>
    <mergeCell ref="P33:P34"/>
    <mergeCell ref="N33:N34"/>
    <mergeCell ref="O33:O34"/>
    <mergeCell ref="N37:N38"/>
    <mergeCell ref="O37:O38"/>
    <mergeCell ref="K35:K36"/>
    <mergeCell ref="L35:L36"/>
    <mergeCell ref="M35:M36"/>
    <mergeCell ref="H35:H36"/>
    <mergeCell ref="I35:I36"/>
    <mergeCell ref="J35:J36"/>
    <mergeCell ref="Q37:Q38"/>
    <mergeCell ref="Q35:Q36"/>
    <mergeCell ref="C37:C38"/>
    <mergeCell ref="D37:D38"/>
    <mergeCell ref="E37:E38"/>
    <mergeCell ref="F37:F38"/>
    <mergeCell ref="G37:G38"/>
    <mergeCell ref="H37:H38"/>
    <mergeCell ref="I37:I38"/>
    <mergeCell ref="J37:J38"/>
    <mergeCell ref="P37:P38"/>
    <mergeCell ref="K37:K38"/>
    <mergeCell ref="C39:C40"/>
    <mergeCell ref="D39:D40"/>
    <mergeCell ref="E39:E40"/>
    <mergeCell ref="F39:F40"/>
    <mergeCell ref="G39:G40"/>
    <mergeCell ref="H39:H40"/>
    <mergeCell ref="P39:P40"/>
    <mergeCell ref="K39:K40"/>
    <mergeCell ref="Q39:Q40"/>
    <mergeCell ref="C41:C42"/>
    <mergeCell ref="D41:D42"/>
    <mergeCell ref="E41:E42"/>
    <mergeCell ref="F41:F42"/>
    <mergeCell ref="G41:G42"/>
    <mergeCell ref="H41:H42"/>
    <mergeCell ref="I41:I42"/>
    <mergeCell ref="I39:I40"/>
    <mergeCell ref="K41:K42"/>
    <mergeCell ref="L41:L42"/>
    <mergeCell ref="M41:M42"/>
    <mergeCell ref="N41:N42"/>
    <mergeCell ref="O41:O42"/>
    <mergeCell ref="O39:O40"/>
    <mergeCell ref="M39:M40"/>
    <mergeCell ref="N39:N40"/>
    <mergeCell ref="L39:L40"/>
    <mergeCell ref="J39:J40"/>
    <mergeCell ref="Q41:Q42"/>
    <mergeCell ref="C43:H44"/>
    <mergeCell ref="I43:J44"/>
    <mergeCell ref="K43:K44"/>
    <mergeCell ref="I50:J50"/>
    <mergeCell ref="C50:D50"/>
    <mergeCell ref="F50:G50"/>
    <mergeCell ref="Q43:Q44"/>
    <mergeCell ref="L43:L44"/>
    <mergeCell ref="J41:J42"/>
    <mergeCell ref="N43:N44"/>
    <mergeCell ref="O43:O44"/>
    <mergeCell ref="M8:M9"/>
    <mergeCell ref="N8:N9"/>
    <mergeCell ref="P8:P9"/>
    <mergeCell ref="O8:O9"/>
    <mergeCell ref="M10:M11"/>
    <mergeCell ref="N10:N11"/>
    <mergeCell ref="P10:P11"/>
    <mergeCell ref="P41:P42"/>
    <mergeCell ref="Q10:Q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Q12:Q13"/>
    <mergeCell ref="C14:C15"/>
    <mergeCell ref="D14:D15"/>
    <mergeCell ref="E14:E15"/>
    <mergeCell ref="F14:F15"/>
    <mergeCell ref="G14:G15"/>
    <mergeCell ref="I14:I15"/>
    <mergeCell ref="J14:J15"/>
    <mergeCell ref="K14:K15"/>
    <mergeCell ref="L14:L15"/>
    <mergeCell ref="M14:M15"/>
    <mergeCell ref="L12:L13"/>
    <mergeCell ref="M12:M13"/>
    <mergeCell ref="P14:P15"/>
    <mergeCell ref="N12:N13"/>
    <mergeCell ref="P12:P13"/>
    <mergeCell ref="Q14:Q15"/>
    <mergeCell ref="C16:C17"/>
    <mergeCell ref="D16:D17"/>
    <mergeCell ref="E16:E17"/>
    <mergeCell ref="F16:F17"/>
    <mergeCell ref="G16:G17"/>
    <mergeCell ref="H16:H17"/>
    <mergeCell ref="I16:I17"/>
    <mergeCell ref="H14:H15"/>
    <mergeCell ref="N16:N17"/>
    <mergeCell ref="N18:N19"/>
    <mergeCell ref="L18:L19"/>
    <mergeCell ref="M18:M19"/>
    <mergeCell ref="J18:J19"/>
    <mergeCell ref="N14:N15"/>
    <mergeCell ref="H18:H19"/>
    <mergeCell ref="I18:I19"/>
    <mergeCell ref="K18:K19"/>
    <mergeCell ref="J16:J17"/>
    <mergeCell ref="K16:K17"/>
    <mergeCell ref="L16:L17"/>
    <mergeCell ref="H20:H21"/>
    <mergeCell ref="I20:I21"/>
    <mergeCell ref="J20:J21"/>
    <mergeCell ref="P16:P17"/>
    <mergeCell ref="Q16:Q17"/>
    <mergeCell ref="N20:N21"/>
    <mergeCell ref="P18:P19"/>
    <mergeCell ref="Q18:Q19"/>
    <mergeCell ref="Q20:Q21"/>
    <mergeCell ref="C18:C19"/>
    <mergeCell ref="D18:D19"/>
    <mergeCell ref="E18:E19"/>
    <mergeCell ref="F18:F19"/>
    <mergeCell ref="G18:G19"/>
    <mergeCell ref="A16:B16"/>
    <mergeCell ref="A17:B17"/>
    <mergeCell ref="C20:C21"/>
    <mergeCell ref="D20:D21"/>
    <mergeCell ref="E20:E21"/>
    <mergeCell ref="F20:F21"/>
    <mergeCell ref="G20:G21"/>
    <mergeCell ref="O10:O11"/>
    <mergeCell ref="O12:O13"/>
    <mergeCell ref="O14:O15"/>
    <mergeCell ref="O16:O17"/>
    <mergeCell ref="O18:O19"/>
    <mergeCell ref="A10:B10"/>
    <mergeCell ref="A11:B11"/>
    <mergeCell ref="A12:B12"/>
    <mergeCell ref="A13:B13"/>
    <mergeCell ref="A14:B14"/>
    <mergeCell ref="A15:B15"/>
    <mergeCell ref="O22:O23"/>
    <mergeCell ref="O20:O21"/>
    <mergeCell ref="P22:P23"/>
    <mergeCell ref="Q22:Q23"/>
    <mergeCell ref="K20:K21"/>
    <mergeCell ref="L20:L21"/>
    <mergeCell ref="M20:M21"/>
    <mergeCell ref="P20:P21"/>
    <mergeCell ref="M43:M44"/>
    <mergeCell ref="M16:M17"/>
    <mergeCell ref="N22:N23"/>
    <mergeCell ref="P43:P44"/>
    <mergeCell ref="C52:D52"/>
    <mergeCell ref="F52:G52"/>
    <mergeCell ref="I52:J52"/>
    <mergeCell ref="K22:K23"/>
    <mergeCell ref="L22:L23"/>
    <mergeCell ref="M22:M23"/>
  </mergeCells>
  <printOptions horizontalCentered="1" verticalCentered="1"/>
  <pageMargins left="0.78" right="0.2755905511811024" top="0.8" bottom="0.33" header="0.5118110236220472" footer="0.5118110236220472"/>
  <pageSetup blackAndWhite="1" errors="blank" horizontalDpi="600" verticalDpi="6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showZeros="0" zoomScalePageLayoutView="0" workbookViewId="0" topLeftCell="A1">
      <selection activeCell="V3" sqref="V3"/>
    </sheetView>
  </sheetViews>
  <sheetFormatPr defaultColWidth="9.00390625" defaultRowHeight="13.5"/>
  <cols>
    <col min="1" max="1" width="14.625" style="1" customWidth="1"/>
    <col min="2" max="9" width="4.125" style="1" customWidth="1"/>
    <col min="10" max="20" width="7.625" style="1" customWidth="1"/>
    <col min="21" max="21" width="9.625" style="1" customWidth="1"/>
    <col min="22" max="16384" width="9.00390625" style="1" customWidth="1"/>
  </cols>
  <sheetData>
    <row r="1" spans="1:12" s="4" customFormat="1" ht="18" customHeight="1">
      <c r="A1" s="240" t="s">
        <v>95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4" t="s">
        <v>43</v>
      </c>
    </row>
    <row r="2" spans="13:19" s="4" customFormat="1" ht="15" customHeight="1" thickBot="1">
      <c r="M2" s="1"/>
      <c r="N2" s="1"/>
      <c r="O2" s="1"/>
      <c r="P2" s="1"/>
      <c r="Q2" s="1"/>
      <c r="R2" s="1"/>
      <c r="S2" s="1"/>
    </row>
    <row r="3" spans="1:20" s="4" customFormat="1" ht="27" customHeight="1">
      <c r="A3" s="246" t="s">
        <v>69</v>
      </c>
      <c r="B3" s="247"/>
      <c r="C3" s="259" t="s">
        <v>86</v>
      </c>
      <c r="D3" s="260"/>
      <c r="E3" s="260"/>
      <c r="F3" s="259" t="s">
        <v>30</v>
      </c>
      <c r="G3" s="260"/>
      <c r="H3" s="260"/>
      <c r="I3" s="261" t="s">
        <v>70</v>
      </c>
      <c r="J3" s="262"/>
      <c r="K3" s="78"/>
      <c r="M3" s="185"/>
      <c r="N3" s="185"/>
      <c r="O3" s="185"/>
      <c r="P3" s="185"/>
      <c r="Q3" s="185"/>
      <c r="R3" s="185"/>
      <c r="S3" s="185"/>
      <c r="T3" s="185"/>
    </row>
    <row r="4" spans="1:20" s="4" customFormat="1" ht="13.5" customHeight="1">
      <c r="A4" s="248" t="s">
        <v>98</v>
      </c>
      <c r="B4" s="249"/>
      <c r="C4" s="257">
        <v>100</v>
      </c>
      <c r="D4" s="257"/>
      <c r="E4" s="257"/>
      <c r="F4" s="230">
        <v>1500</v>
      </c>
      <c r="G4" s="230"/>
      <c r="H4" s="230"/>
      <c r="I4" s="223">
        <f>ROUNDDOWN(C4*F4,0)</f>
        <v>150000</v>
      </c>
      <c r="J4" s="224"/>
      <c r="K4" s="79"/>
      <c r="M4" s="185"/>
      <c r="N4" s="185"/>
      <c r="O4" s="216"/>
      <c r="P4" s="216"/>
      <c r="Q4" s="216"/>
      <c r="R4" s="216"/>
      <c r="S4" s="216"/>
      <c r="T4" s="216"/>
    </row>
    <row r="5" spans="1:20" s="4" customFormat="1" ht="13.5" customHeight="1">
      <c r="A5" s="248" t="s">
        <v>99</v>
      </c>
      <c r="B5" s="249"/>
      <c r="C5" s="257">
        <v>100</v>
      </c>
      <c r="D5" s="257"/>
      <c r="E5" s="257"/>
      <c r="F5" s="230">
        <v>1200</v>
      </c>
      <c r="G5" s="230"/>
      <c r="H5" s="230"/>
      <c r="I5" s="223">
        <f>ROUNDDOWN(C5*F5,0)</f>
        <v>120000</v>
      </c>
      <c r="J5" s="224"/>
      <c r="K5" s="79"/>
      <c r="M5" s="185"/>
      <c r="N5" s="185"/>
      <c r="O5" s="216"/>
      <c r="P5" s="216"/>
      <c r="Q5" s="216"/>
      <c r="R5" s="216"/>
      <c r="S5" s="216"/>
      <c r="T5" s="216"/>
    </row>
    <row r="6" spans="1:20" s="4" customFormat="1" ht="13.5" customHeight="1">
      <c r="A6" s="248"/>
      <c r="B6" s="249"/>
      <c r="C6" s="257"/>
      <c r="D6" s="257"/>
      <c r="E6" s="257"/>
      <c r="F6" s="230"/>
      <c r="G6" s="230"/>
      <c r="H6" s="230"/>
      <c r="I6" s="223">
        <f>ROUNDDOWN(C6*F6,0)</f>
        <v>0</v>
      </c>
      <c r="J6" s="224"/>
      <c r="K6" s="30"/>
      <c r="M6" s="185"/>
      <c r="N6" s="185"/>
      <c r="O6" s="216"/>
      <c r="P6" s="216"/>
      <c r="Q6" s="216"/>
      <c r="R6" s="216"/>
      <c r="S6" s="216"/>
      <c r="T6" s="216"/>
    </row>
    <row r="7" spans="1:20" s="4" customFormat="1" ht="13.5" customHeight="1">
      <c r="A7" s="248"/>
      <c r="B7" s="249"/>
      <c r="C7" s="257"/>
      <c r="D7" s="257"/>
      <c r="E7" s="257"/>
      <c r="F7" s="230"/>
      <c r="G7" s="230"/>
      <c r="H7" s="230"/>
      <c r="I7" s="223">
        <f>ROUNDDOWN(C7*F7,0)</f>
        <v>0</v>
      </c>
      <c r="J7" s="224"/>
      <c r="K7" s="30"/>
      <c r="M7" s="185"/>
      <c r="N7" s="185"/>
      <c r="O7" s="216"/>
      <c r="P7" s="216"/>
      <c r="Q7" s="216"/>
      <c r="R7" s="216"/>
      <c r="S7" s="216"/>
      <c r="T7" s="216"/>
    </row>
    <row r="8" spans="1:20" s="4" customFormat="1" ht="13.5" customHeight="1">
      <c r="A8" s="248"/>
      <c r="B8" s="249"/>
      <c r="C8" s="258"/>
      <c r="D8" s="258"/>
      <c r="E8" s="258"/>
      <c r="F8" s="230"/>
      <c r="G8" s="230"/>
      <c r="H8" s="230"/>
      <c r="I8" s="223">
        <f>ROUNDDOWN(C8*F8,0)</f>
        <v>0</v>
      </c>
      <c r="J8" s="224"/>
      <c r="K8" s="30"/>
      <c r="M8" s="185"/>
      <c r="N8" s="185"/>
      <c r="O8" s="216"/>
      <c r="P8" s="216"/>
      <c r="Q8" s="216"/>
      <c r="R8" s="216"/>
      <c r="S8" s="216"/>
      <c r="T8" s="216"/>
    </row>
    <row r="9" spans="1:20" ht="13.5" customHeight="1" thickBot="1">
      <c r="A9" s="255" t="s">
        <v>21</v>
      </c>
      <c r="B9" s="256"/>
      <c r="C9" s="231"/>
      <c r="D9" s="232"/>
      <c r="E9" s="232"/>
      <c r="F9" s="231"/>
      <c r="G9" s="232"/>
      <c r="H9" s="232"/>
      <c r="I9" s="225">
        <f>SUM(I4:J8)</f>
        <v>270000</v>
      </c>
      <c r="J9" s="226"/>
      <c r="K9" s="30"/>
      <c r="M9" s="185"/>
      <c r="N9" s="185"/>
      <c r="O9" s="185"/>
      <c r="P9" s="185"/>
      <c r="Q9" s="185"/>
      <c r="R9" s="185"/>
      <c r="S9" s="216"/>
      <c r="T9" s="216"/>
    </row>
    <row r="10" spans="8:20" ht="15" customHeight="1" thickBot="1">
      <c r="H10" s="229"/>
      <c r="I10" s="229"/>
      <c r="J10" s="6"/>
      <c r="K10" s="6"/>
      <c r="L10" s="6"/>
      <c r="M10" s="5"/>
      <c r="N10" s="6"/>
      <c r="O10" s="6"/>
      <c r="P10" s="6"/>
      <c r="Q10" s="6"/>
      <c r="R10" s="6"/>
      <c r="S10" s="6"/>
      <c r="T10" s="6"/>
    </row>
    <row r="11" spans="1:21" ht="39" customHeight="1" thickBot="1">
      <c r="A11" s="7" t="s">
        <v>69</v>
      </c>
      <c r="B11" s="208"/>
      <c r="C11" s="209"/>
      <c r="D11" s="209"/>
      <c r="E11" s="209"/>
      <c r="F11" s="209"/>
      <c r="G11" s="210"/>
      <c r="H11" s="219">
        <f>'鏡'!F18</f>
        <v>10</v>
      </c>
      <c r="I11" s="220"/>
      <c r="J11" s="9">
        <f>IF('鏡'!K18&gt;1,IF(H11+1&gt;12,H11+1-12,H11+1),"")</f>
        <v>11</v>
      </c>
      <c r="K11" s="9">
        <f>IF('鏡'!K18&gt;2,IF(J11+1&gt;12,J11+1-12,J11+1),"")</f>
        <v>12</v>
      </c>
      <c r="L11" s="9">
        <f>IF('鏡'!K18&gt;3,IF(K11+1&gt;12,K11+1-12,K11+1),"")</f>
        <v>1</v>
      </c>
      <c r="M11" s="8">
        <f>IF('鏡'!K18&gt;4,IF(L11+1&gt;12,L11+1-12,L11+1),"")</f>
        <v>2</v>
      </c>
      <c r="N11" s="9">
        <f>IF('鏡'!K18&gt;5,IF(M11+1&gt;12,M11+1-12,M11+1),"")</f>
        <v>3</v>
      </c>
      <c r="O11" s="9">
        <f>IF('鏡'!K18&gt;6,IF(N11+1&gt;12,N11+1-12,N11+1),"")</f>
        <v>4</v>
      </c>
      <c r="P11" s="9">
        <f>IF('鏡'!K18&gt;7,IF(O11+1&gt;12,O11+1-12,O11+1),"")</f>
        <v>5</v>
      </c>
      <c r="Q11" s="9">
        <f>IF('鏡'!K18&gt;8,IF(P11+1&gt;12,P11+1-12,P11+1),"")</f>
        <v>6</v>
      </c>
      <c r="R11" s="9">
        <f>IF('鏡'!K18&gt;9,IF(Q11+1&gt;12,Q11+1-12,Q11+1),"")</f>
        <v>7</v>
      </c>
      <c r="S11" s="9">
        <f>IF('鏡'!K18&gt;10,IF(R11+1&gt;12,R11+1-12,R11+1),"")</f>
        <v>8</v>
      </c>
      <c r="T11" s="9">
        <f>IF('鏡'!K18&gt;11,IF(S11+1&gt;12,S11+1-12,S11+1),"")</f>
        <v>9</v>
      </c>
      <c r="U11" s="10" t="s">
        <v>35</v>
      </c>
    </row>
    <row r="12" spans="1:21" ht="13.5" customHeight="1" thickTop="1">
      <c r="A12" s="214" t="str">
        <f>A4</f>
        <v>栗石</v>
      </c>
      <c r="B12" s="250" t="s">
        <v>36</v>
      </c>
      <c r="C12" s="251"/>
      <c r="D12" s="251"/>
      <c r="E12" s="251"/>
      <c r="F12" s="251"/>
      <c r="G12" s="252"/>
      <c r="H12" s="221"/>
      <c r="I12" s="222"/>
      <c r="J12" s="11"/>
      <c r="K12" s="11"/>
      <c r="L12" s="11">
        <v>5000</v>
      </c>
      <c r="M12" s="12">
        <v>5000</v>
      </c>
      <c r="N12" s="11">
        <v>5000</v>
      </c>
      <c r="O12" s="11"/>
      <c r="P12" s="11"/>
      <c r="Q12" s="11"/>
      <c r="R12" s="11"/>
      <c r="S12" s="11"/>
      <c r="T12" s="11"/>
      <c r="U12" s="80">
        <f>SUM(H12*H14,J12*J14,K12*K14,L12*L14,M12*M14,N12*N14,O12*O14,P12*P14,Q12*Q14,R12*R14,S12*S14,T12*T14)</f>
        <v>500000</v>
      </c>
    </row>
    <row r="13" spans="1:21" ht="13.5" customHeight="1">
      <c r="A13" s="199"/>
      <c r="B13" s="192" t="s">
        <v>37</v>
      </c>
      <c r="C13" s="193"/>
      <c r="D13" s="193"/>
      <c r="E13" s="193"/>
      <c r="F13" s="193"/>
      <c r="G13" s="194"/>
      <c r="H13" s="203"/>
      <c r="I13" s="204"/>
      <c r="J13" s="2"/>
      <c r="K13" s="2"/>
      <c r="L13" s="2">
        <v>7000</v>
      </c>
      <c r="M13" s="13">
        <v>6000</v>
      </c>
      <c r="N13" s="2">
        <v>8000</v>
      </c>
      <c r="O13" s="2"/>
      <c r="P13" s="2"/>
      <c r="Q13" s="2"/>
      <c r="R13" s="2"/>
      <c r="S13" s="2"/>
      <c r="T13" s="2"/>
      <c r="U13" s="19">
        <f>SUM(H13*H14,J13*J14,K13*K14,L13*L14,M13*M14,N13*N14,O13*O14,P13*P14,Q13*Q14,R13*R14,S13*S14,T13*T14)</f>
        <v>710000</v>
      </c>
    </row>
    <row r="14" spans="1:21" ht="13.5" customHeight="1" thickBot="1">
      <c r="A14" s="215"/>
      <c r="B14" s="205" t="s">
        <v>102</v>
      </c>
      <c r="C14" s="206"/>
      <c r="D14" s="206"/>
      <c r="E14" s="206"/>
      <c r="F14" s="206"/>
      <c r="G14" s="207"/>
      <c r="H14" s="227"/>
      <c r="I14" s="228"/>
      <c r="J14" s="95"/>
      <c r="K14" s="95"/>
      <c r="L14" s="95">
        <v>30</v>
      </c>
      <c r="M14" s="98">
        <v>30</v>
      </c>
      <c r="N14" s="95">
        <v>40</v>
      </c>
      <c r="O14" s="95"/>
      <c r="P14" s="95"/>
      <c r="Q14" s="95"/>
      <c r="R14" s="95"/>
      <c r="S14" s="95"/>
      <c r="T14" s="95"/>
      <c r="U14" s="99">
        <f>SUM(H14:T14)</f>
        <v>100</v>
      </c>
    </row>
    <row r="15" spans="1:21" ht="13.5" customHeight="1" thickTop="1">
      <c r="A15" s="198" t="str">
        <f>A5</f>
        <v>砕石</v>
      </c>
      <c r="B15" s="211" t="s">
        <v>36</v>
      </c>
      <c r="C15" s="212"/>
      <c r="D15" s="212"/>
      <c r="E15" s="212"/>
      <c r="F15" s="212"/>
      <c r="G15" s="213"/>
      <c r="H15" s="201"/>
      <c r="I15" s="202"/>
      <c r="J15" s="14"/>
      <c r="K15" s="14"/>
      <c r="L15" s="14">
        <v>6000</v>
      </c>
      <c r="M15" s="13">
        <v>5000</v>
      </c>
      <c r="N15" s="14">
        <v>8000</v>
      </c>
      <c r="O15" s="14"/>
      <c r="P15" s="14"/>
      <c r="Q15" s="14"/>
      <c r="R15" s="14"/>
      <c r="S15" s="14"/>
      <c r="T15" s="14"/>
      <c r="U15" s="17">
        <f>SUM(H15*H17,J15*J17,K15*K17,L15*L17,M15*M17,N15*N17,O15*O17,P15*P17,Q15*Q17,R15*R17,S15*S17,T15*T17)</f>
        <v>650000</v>
      </c>
    </row>
    <row r="16" spans="1:21" ht="13.5" customHeight="1">
      <c r="A16" s="199"/>
      <c r="B16" s="192" t="s">
        <v>37</v>
      </c>
      <c r="C16" s="193"/>
      <c r="D16" s="193"/>
      <c r="E16" s="193"/>
      <c r="F16" s="193"/>
      <c r="G16" s="194"/>
      <c r="H16" s="203"/>
      <c r="I16" s="204"/>
      <c r="J16" s="2"/>
      <c r="K16" s="2"/>
      <c r="L16" s="2">
        <v>1200</v>
      </c>
      <c r="M16" s="13">
        <v>2000</v>
      </c>
      <c r="N16" s="2">
        <v>2500</v>
      </c>
      <c r="O16" s="2"/>
      <c r="P16" s="2"/>
      <c r="Q16" s="2"/>
      <c r="R16" s="2"/>
      <c r="S16" s="2"/>
      <c r="T16" s="2"/>
      <c r="U16" s="19">
        <f>SUM(H16*H17,J16*J17,K16*K17,L16*L17,M16*M17,N16*N17,O16*O17,P16*P17,Q16*Q17,R16*R17,S16*S17,T16*T17)</f>
        <v>196000</v>
      </c>
    </row>
    <row r="17" spans="1:21" ht="13.5" customHeight="1" thickBot="1">
      <c r="A17" s="200"/>
      <c r="B17" s="205" t="s">
        <v>102</v>
      </c>
      <c r="C17" s="206"/>
      <c r="D17" s="206"/>
      <c r="E17" s="206"/>
      <c r="F17" s="206"/>
      <c r="G17" s="207"/>
      <c r="H17" s="217"/>
      <c r="I17" s="218"/>
      <c r="J17" s="96"/>
      <c r="K17" s="96"/>
      <c r="L17" s="96">
        <v>30</v>
      </c>
      <c r="M17" s="97">
        <v>30</v>
      </c>
      <c r="N17" s="96">
        <v>40</v>
      </c>
      <c r="O17" s="96"/>
      <c r="P17" s="96"/>
      <c r="Q17" s="96"/>
      <c r="R17" s="96"/>
      <c r="S17" s="96"/>
      <c r="T17" s="96"/>
      <c r="U17" s="100">
        <f>SUM(H17:T17)</f>
        <v>100</v>
      </c>
    </row>
    <row r="18" spans="1:21" ht="13.5" customHeight="1" thickTop="1">
      <c r="A18" s="214">
        <f>A6</f>
        <v>0</v>
      </c>
      <c r="B18" s="250" t="s">
        <v>36</v>
      </c>
      <c r="C18" s="251"/>
      <c r="D18" s="251"/>
      <c r="E18" s="251"/>
      <c r="F18" s="251"/>
      <c r="G18" s="252"/>
      <c r="H18" s="241"/>
      <c r="I18" s="242"/>
      <c r="J18" s="11"/>
      <c r="K18" s="11"/>
      <c r="L18" s="11"/>
      <c r="M18" s="12"/>
      <c r="N18" s="11"/>
      <c r="O18" s="11"/>
      <c r="P18" s="11"/>
      <c r="Q18" s="11"/>
      <c r="R18" s="11"/>
      <c r="S18" s="11"/>
      <c r="T18" s="11"/>
      <c r="U18" s="80">
        <f>SUM(H18*H20,J18*J20,K18*K20,L18*L20,M18*M20,N18*N20,O18*O20,P18*P20,Q18*Q20,R18*R20,S18*S20,T18*T20)</f>
        <v>0</v>
      </c>
    </row>
    <row r="19" spans="1:21" ht="13.5" customHeight="1">
      <c r="A19" s="199"/>
      <c r="B19" s="192" t="s">
        <v>37</v>
      </c>
      <c r="C19" s="193"/>
      <c r="D19" s="193"/>
      <c r="E19" s="193"/>
      <c r="F19" s="193"/>
      <c r="G19" s="194"/>
      <c r="H19" s="203"/>
      <c r="I19" s="204"/>
      <c r="J19" s="2"/>
      <c r="K19" s="2"/>
      <c r="L19" s="2"/>
      <c r="M19" s="13"/>
      <c r="N19" s="2"/>
      <c r="O19" s="2"/>
      <c r="P19" s="2"/>
      <c r="Q19" s="2"/>
      <c r="R19" s="2"/>
      <c r="S19" s="2"/>
      <c r="T19" s="2"/>
      <c r="U19" s="19">
        <f>SUM(H19*H20,J19*J20,K19*K20,L19*L20,M19*M20,N19*N20,O19*O20,P19*P20,Q19*Q20,R19*R20,S19*S20,T19*T20)</f>
        <v>0</v>
      </c>
    </row>
    <row r="20" spans="1:21" ht="13.5" customHeight="1" thickBot="1">
      <c r="A20" s="215"/>
      <c r="B20" s="205" t="s">
        <v>102</v>
      </c>
      <c r="C20" s="206"/>
      <c r="D20" s="206"/>
      <c r="E20" s="206"/>
      <c r="F20" s="206"/>
      <c r="G20" s="207"/>
      <c r="H20" s="227"/>
      <c r="I20" s="228"/>
      <c r="J20" s="95"/>
      <c r="K20" s="95"/>
      <c r="L20" s="95"/>
      <c r="M20" s="98"/>
      <c r="N20" s="95"/>
      <c r="O20" s="95"/>
      <c r="P20" s="95"/>
      <c r="Q20" s="95"/>
      <c r="R20" s="95"/>
      <c r="S20" s="95"/>
      <c r="T20" s="95"/>
      <c r="U20" s="99">
        <f>SUM(H20:T20)</f>
        <v>0</v>
      </c>
    </row>
    <row r="21" spans="1:21" ht="13.5" customHeight="1" thickTop="1">
      <c r="A21" s="198">
        <f>A7</f>
        <v>0</v>
      </c>
      <c r="B21" s="211" t="s">
        <v>36</v>
      </c>
      <c r="C21" s="212"/>
      <c r="D21" s="212"/>
      <c r="E21" s="212"/>
      <c r="F21" s="212"/>
      <c r="G21" s="213"/>
      <c r="H21" s="201"/>
      <c r="I21" s="202"/>
      <c r="J21" s="14"/>
      <c r="K21" s="14"/>
      <c r="L21" s="14"/>
      <c r="M21" s="13"/>
      <c r="N21" s="14"/>
      <c r="O21" s="14"/>
      <c r="P21" s="14"/>
      <c r="Q21" s="14"/>
      <c r="R21" s="14"/>
      <c r="S21" s="14"/>
      <c r="T21" s="14"/>
      <c r="U21" s="17">
        <f>SUM(H21*H23,J21*J23,K21*K23,L21*L23,M21*M23,N21*N23,O21*O23,P21*P23,Q21*Q23,R21*R23,S21*S23,T21*T23)</f>
        <v>0</v>
      </c>
    </row>
    <row r="22" spans="1:21" ht="13.5" customHeight="1">
      <c r="A22" s="199"/>
      <c r="B22" s="192" t="s">
        <v>37</v>
      </c>
      <c r="C22" s="193"/>
      <c r="D22" s="193"/>
      <c r="E22" s="193"/>
      <c r="F22" s="193"/>
      <c r="G22" s="194"/>
      <c r="H22" s="203"/>
      <c r="I22" s="204"/>
      <c r="J22" s="2"/>
      <c r="K22" s="2"/>
      <c r="L22" s="2"/>
      <c r="M22" s="13"/>
      <c r="N22" s="2"/>
      <c r="O22" s="2"/>
      <c r="P22" s="2"/>
      <c r="Q22" s="2"/>
      <c r="R22" s="2"/>
      <c r="S22" s="2"/>
      <c r="T22" s="2"/>
      <c r="U22" s="19">
        <f>SUM(H22*H23,J22*J23,K22*K23,L22*L23,M22*M23,N22*N23,O22*O23,P22*P23,Q22*Q23,R22*R23,S22*S23,T22*T23)</f>
        <v>0</v>
      </c>
    </row>
    <row r="23" spans="1:21" ht="13.5" customHeight="1" thickBot="1">
      <c r="A23" s="200"/>
      <c r="B23" s="205" t="s">
        <v>102</v>
      </c>
      <c r="C23" s="206"/>
      <c r="D23" s="206"/>
      <c r="E23" s="206"/>
      <c r="F23" s="206"/>
      <c r="G23" s="207"/>
      <c r="H23" s="217"/>
      <c r="I23" s="218"/>
      <c r="J23" s="96"/>
      <c r="K23" s="96"/>
      <c r="L23" s="96"/>
      <c r="M23" s="97"/>
      <c r="N23" s="96"/>
      <c r="O23" s="96"/>
      <c r="P23" s="96"/>
      <c r="Q23" s="96"/>
      <c r="R23" s="96"/>
      <c r="S23" s="96"/>
      <c r="T23" s="96"/>
      <c r="U23" s="100">
        <f>SUM(H23:T23)</f>
        <v>0</v>
      </c>
    </row>
    <row r="24" spans="1:21" ht="13.5" customHeight="1" thickTop="1">
      <c r="A24" s="214">
        <f>A8</f>
        <v>0</v>
      </c>
      <c r="B24" s="250" t="s">
        <v>36</v>
      </c>
      <c r="C24" s="251"/>
      <c r="D24" s="251"/>
      <c r="E24" s="251"/>
      <c r="F24" s="251"/>
      <c r="G24" s="252"/>
      <c r="H24" s="241"/>
      <c r="I24" s="242"/>
      <c r="J24" s="11"/>
      <c r="K24" s="11"/>
      <c r="L24" s="11"/>
      <c r="M24" s="12"/>
      <c r="N24" s="11"/>
      <c r="O24" s="11"/>
      <c r="P24" s="11"/>
      <c r="Q24" s="11"/>
      <c r="R24" s="11"/>
      <c r="S24" s="11"/>
      <c r="T24" s="11"/>
      <c r="U24" s="80">
        <f>SUM(H24*H26,J24*J26,K24*K26,L24*L26,M24*M26,N24*N26,O24*O26,P24*P26,Q24*Q26,R24*R26,S24*S26,T24*T26)</f>
        <v>0</v>
      </c>
    </row>
    <row r="25" spans="1:21" ht="13.5" customHeight="1">
      <c r="A25" s="199"/>
      <c r="B25" s="192" t="s">
        <v>37</v>
      </c>
      <c r="C25" s="193"/>
      <c r="D25" s="193"/>
      <c r="E25" s="193"/>
      <c r="F25" s="193"/>
      <c r="G25" s="194"/>
      <c r="H25" s="203"/>
      <c r="I25" s="204"/>
      <c r="J25" s="2"/>
      <c r="K25" s="2"/>
      <c r="L25" s="2"/>
      <c r="M25" s="13"/>
      <c r="N25" s="2"/>
      <c r="O25" s="2"/>
      <c r="P25" s="2"/>
      <c r="Q25" s="2"/>
      <c r="R25" s="2"/>
      <c r="S25" s="2"/>
      <c r="T25" s="2"/>
      <c r="U25" s="19">
        <f>SUM(H25*H26,J25*J26,K25*K26,L25*L26,M25*M26,N25*N26,O25*O26,P25*P26,Q25*Q26,R25*R26,S25*S26,T25*T26)</f>
        <v>0</v>
      </c>
    </row>
    <row r="26" spans="1:21" ht="13.5" customHeight="1" thickBot="1">
      <c r="A26" s="215"/>
      <c r="B26" s="205" t="s">
        <v>102</v>
      </c>
      <c r="C26" s="206"/>
      <c r="D26" s="206"/>
      <c r="E26" s="206"/>
      <c r="F26" s="206"/>
      <c r="G26" s="207"/>
      <c r="H26" s="227"/>
      <c r="I26" s="228"/>
      <c r="J26" s="95"/>
      <c r="K26" s="95"/>
      <c r="L26" s="95"/>
      <c r="M26" s="98"/>
      <c r="N26" s="95"/>
      <c r="O26" s="95"/>
      <c r="P26" s="95"/>
      <c r="Q26" s="95"/>
      <c r="R26" s="95"/>
      <c r="S26" s="95"/>
      <c r="T26" s="95"/>
      <c r="U26" s="99">
        <f>SUM(H26:T26)</f>
        <v>0</v>
      </c>
    </row>
    <row r="27" spans="1:21" ht="13.5" customHeight="1" thickTop="1">
      <c r="A27" s="198" t="s">
        <v>21</v>
      </c>
      <c r="B27" s="211" t="s">
        <v>36</v>
      </c>
      <c r="C27" s="212"/>
      <c r="D27" s="212"/>
      <c r="E27" s="212"/>
      <c r="F27" s="212"/>
      <c r="G27" s="213"/>
      <c r="H27" s="253"/>
      <c r="I27" s="254"/>
      <c r="J27" s="16"/>
      <c r="K27" s="16"/>
      <c r="L27" s="16"/>
      <c r="M27" s="15"/>
      <c r="N27" s="16"/>
      <c r="O27" s="16"/>
      <c r="P27" s="16"/>
      <c r="Q27" s="16"/>
      <c r="R27" s="16"/>
      <c r="S27" s="16"/>
      <c r="T27" s="16"/>
      <c r="U27" s="17">
        <f>SUM(U12,U15,U18,U21,U24)</f>
        <v>1150000</v>
      </c>
    </row>
    <row r="28" spans="1:21" ht="13.5" customHeight="1">
      <c r="A28" s="199"/>
      <c r="B28" s="192" t="s">
        <v>37</v>
      </c>
      <c r="C28" s="193"/>
      <c r="D28" s="193"/>
      <c r="E28" s="193"/>
      <c r="F28" s="193"/>
      <c r="G28" s="194"/>
      <c r="H28" s="233"/>
      <c r="I28" s="234"/>
      <c r="J28" s="18"/>
      <c r="K28" s="18"/>
      <c r="L28" s="18"/>
      <c r="M28" s="15"/>
      <c r="N28" s="18"/>
      <c r="O28" s="18"/>
      <c r="P28" s="18"/>
      <c r="Q28" s="18"/>
      <c r="R28" s="18"/>
      <c r="S28" s="18"/>
      <c r="T28" s="18"/>
      <c r="U28" s="19">
        <f>SUM(U13,U16,U19,U22,U25)</f>
        <v>906000</v>
      </c>
    </row>
    <row r="29" spans="1:21" ht="13.5" customHeight="1" thickBot="1">
      <c r="A29" s="239"/>
      <c r="B29" s="205" t="s">
        <v>102</v>
      </c>
      <c r="C29" s="206"/>
      <c r="D29" s="206"/>
      <c r="E29" s="206"/>
      <c r="F29" s="206"/>
      <c r="G29" s="207"/>
      <c r="H29" s="235"/>
      <c r="I29" s="236"/>
      <c r="J29" s="20"/>
      <c r="K29" s="20"/>
      <c r="L29" s="20"/>
      <c r="M29" s="21"/>
      <c r="N29" s="20"/>
      <c r="O29" s="20"/>
      <c r="P29" s="20"/>
      <c r="Q29" s="20"/>
      <c r="R29" s="20"/>
      <c r="S29" s="20"/>
      <c r="T29" s="20"/>
      <c r="U29" s="101">
        <f>SUM(U14,U17,U20,U23,U26)</f>
        <v>200</v>
      </c>
    </row>
    <row r="31" ht="12" thickBot="1">
      <c r="A31" s="1" t="s">
        <v>101</v>
      </c>
    </row>
    <row r="32" spans="3:13" ht="12" thickBot="1">
      <c r="C32" s="186">
        <f>I9</f>
        <v>270000</v>
      </c>
      <c r="D32" s="187"/>
      <c r="E32" s="188"/>
      <c r="F32" s="6" t="s">
        <v>45</v>
      </c>
      <c r="G32" s="189">
        <f>'鏡'!I13</f>
        <v>0.9</v>
      </c>
      <c r="H32" s="188"/>
      <c r="I32" s="6" t="s">
        <v>45</v>
      </c>
      <c r="J32" s="104">
        <v>1.08</v>
      </c>
      <c r="K32" s="6" t="s">
        <v>18</v>
      </c>
      <c r="L32" s="190">
        <f>ROUNDDOWN(C32*G32*J32,0)</f>
        <v>262440</v>
      </c>
      <c r="M32" s="191"/>
    </row>
    <row r="33" spans="1:9" ht="12" thickBot="1">
      <c r="A33" s="1" t="s">
        <v>103</v>
      </c>
      <c r="F33" s="6"/>
      <c r="I33" s="6"/>
    </row>
    <row r="34" spans="3:13" ht="12" thickBot="1">
      <c r="C34" s="186">
        <f>U27</f>
        <v>1150000</v>
      </c>
      <c r="D34" s="187"/>
      <c r="E34" s="188"/>
      <c r="F34" s="6" t="s">
        <v>45</v>
      </c>
      <c r="G34" s="189">
        <f>'鏡'!I13</f>
        <v>0.9</v>
      </c>
      <c r="H34" s="188"/>
      <c r="I34" s="6" t="s">
        <v>45</v>
      </c>
      <c r="J34" s="104">
        <v>1.08</v>
      </c>
      <c r="K34" s="6" t="s">
        <v>18</v>
      </c>
      <c r="L34" s="190">
        <f>ROUNDDOWN(C34*G34*J34,0)</f>
        <v>1117800</v>
      </c>
      <c r="M34" s="191"/>
    </row>
    <row r="35" spans="1:13" ht="12" thickBot="1">
      <c r="A35" s="1" t="s">
        <v>40</v>
      </c>
      <c r="F35" s="6"/>
      <c r="I35" s="6"/>
      <c r="L35" s="184"/>
      <c r="M35" s="184"/>
    </row>
    <row r="36" spans="3:11" ht="14.25" customHeight="1" thickBot="1">
      <c r="C36" s="186">
        <f>U28</f>
        <v>906000</v>
      </c>
      <c r="D36" s="187"/>
      <c r="E36" s="188"/>
      <c r="F36" s="6" t="s">
        <v>45</v>
      </c>
      <c r="G36" s="238">
        <v>1.08</v>
      </c>
      <c r="H36" s="188"/>
      <c r="I36" s="6" t="s">
        <v>18</v>
      </c>
      <c r="J36" s="190">
        <f>ROUNDDOWN(C36*G36,0)</f>
        <v>978480</v>
      </c>
      <c r="K36" s="191"/>
    </row>
    <row r="37" spans="3:12" ht="16.5" customHeight="1" thickBot="1">
      <c r="C37" s="6" t="str">
        <f>IF(J36&lt;L34,"※この場合、価格変動後の金額Ｍ変更は、実購入額を採用","※この場合、価格変動後の金額Ｍ変更は、実勢価格を採用")</f>
        <v>※この場合、価格変動後の金額Ｍ変更は、実購入額を採用</v>
      </c>
      <c r="D37" s="6"/>
      <c r="E37" s="6"/>
      <c r="F37" s="6"/>
      <c r="G37" s="6"/>
      <c r="H37" s="6"/>
      <c r="I37" s="6"/>
      <c r="J37" s="6"/>
      <c r="K37" s="6"/>
      <c r="L37" s="6"/>
    </row>
    <row r="38" spans="1:13" ht="14.25" customHeight="1" thickBot="1">
      <c r="A38" s="1" t="s">
        <v>100</v>
      </c>
      <c r="D38" s="186">
        <f>MIN(J36,L34)</f>
        <v>978480</v>
      </c>
      <c r="E38" s="187"/>
      <c r="F38" s="188"/>
      <c r="G38" s="6" t="s">
        <v>47</v>
      </c>
      <c r="H38" s="186">
        <f>L32</f>
        <v>262440</v>
      </c>
      <c r="I38" s="187"/>
      <c r="J38" s="188"/>
      <c r="K38" s="6" t="s">
        <v>18</v>
      </c>
      <c r="L38" s="186">
        <f>D38-H38</f>
        <v>716040</v>
      </c>
      <c r="M38" s="237"/>
    </row>
  </sheetData>
  <sheetProtection/>
  <mergeCells count="115">
    <mergeCell ref="L35:M35"/>
    <mergeCell ref="C36:E36"/>
    <mergeCell ref="G36:H36"/>
    <mergeCell ref="J36:K36"/>
    <mergeCell ref="D38:F38"/>
    <mergeCell ref="H38:J38"/>
    <mergeCell ref="L38:M38"/>
    <mergeCell ref="C32:E32"/>
    <mergeCell ref="G32:H32"/>
    <mergeCell ref="L32:M32"/>
    <mergeCell ref="C34:E34"/>
    <mergeCell ref="G34:H34"/>
    <mergeCell ref="L34:M34"/>
    <mergeCell ref="A27:A29"/>
    <mergeCell ref="B27:G27"/>
    <mergeCell ref="H27:I27"/>
    <mergeCell ref="B28:G28"/>
    <mergeCell ref="H28:I28"/>
    <mergeCell ref="B29:G29"/>
    <mergeCell ref="H29:I29"/>
    <mergeCell ref="A24:A26"/>
    <mergeCell ref="B24:G24"/>
    <mergeCell ref="H24:I24"/>
    <mergeCell ref="B25:G25"/>
    <mergeCell ref="H25:I25"/>
    <mergeCell ref="B26:G26"/>
    <mergeCell ref="H26:I26"/>
    <mergeCell ref="A21:A23"/>
    <mergeCell ref="B21:G21"/>
    <mergeCell ref="H21:I21"/>
    <mergeCell ref="B22:G22"/>
    <mergeCell ref="H22:I22"/>
    <mergeCell ref="B23:G23"/>
    <mergeCell ref="H23:I23"/>
    <mergeCell ref="A18:A20"/>
    <mergeCell ref="B18:G18"/>
    <mergeCell ref="H18:I18"/>
    <mergeCell ref="B19:G19"/>
    <mergeCell ref="H19:I19"/>
    <mergeCell ref="B20:G20"/>
    <mergeCell ref="H20:I20"/>
    <mergeCell ref="A15:A17"/>
    <mergeCell ref="B15:G15"/>
    <mergeCell ref="H15:I15"/>
    <mergeCell ref="B16:G16"/>
    <mergeCell ref="H16:I16"/>
    <mergeCell ref="B17:G17"/>
    <mergeCell ref="H17:I17"/>
    <mergeCell ref="H10:I10"/>
    <mergeCell ref="B11:G11"/>
    <mergeCell ref="H11:I11"/>
    <mergeCell ref="A12:A14"/>
    <mergeCell ref="B12:G12"/>
    <mergeCell ref="H12:I12"/>
    <mergeCell ref="B13:G13"/>
    <mergeCell ref="H13:I13"/>
    <mergeCell ref="B14:G14"/>
    <mergeCell ref="H14:I14"/>
    <mergeCell ref="Q8:R8"/>
    <mergeCell ref="S8:T8"/>
    <mergeCell ref="A9:B9"/>
    <mergeCell ref="C9:E9"/>
    <mergeCell ref="F9:H9"/>
    <mergeCell ref="I9:J9"/>
    <mergeCell ref="M9:N9"/>
    <mergeCell ref="O9:P9"/>
    <mergeCell ref="Q9:R9"/>
    <mergeCell ref="S9:T9"/>
    <mergeCell ref="A8:B8"/>
    <mergeCell ref="C8:E8"/>
    <mergeCell ref="F8:H8"/>
    <mergeCell ref="I8:J8"/>
    <mergeCell ref="M8:N8"/>
    <mergeCell ref="O8:P8"/>
    <mergeCell ref="Q6:R6"/>
    <mergeCell ref="S6:T6"/>
    <mergeCell ref="A7:B7"/>
    <mergeCell ref="C7:E7"/>
    <mergeCell ref="F7:H7"/>
    <mergeCell ref="I7:J7"/>
    <mergeCell ref="M7:N7"/>
    <mergeCell ref="O7:P7"/>
    <mergeCell ref="Q7:R7"/>
    <mergeCell ref="S7:T7"/>
    <mergeCell ref="A6:B6"/>
    <mergeCell ref="C6:E6"/>
    <mergeCell ref="F6:H6"/>
    <mergeCell ref="I6:J6"/>
    <mergeCell ref="M6:N6"/>
    <mergeCell ref="O6:P6"/>
    <mergeCell ref="S4:T4"/>
    <mergeCell ref="A5:B5"/>
    <mergeCell ref="C5:E5"/>
    <mergeCell ref="F5:H5"/>
    <mergeCell ref="I5:J5"/>
    <mergeCell ref="M5:N5"/>
    <mergeCell ref="O5:P5"/>
    <mergeCell ref="Q5:R5"/>
    <mergeCell ref="S5:T5"/>
    <mergeCell ref="O3:P3"/>
    <mergeCell ref="Q3:R3"/>
    <mergeCell ref="S3:T3"/>
    <mergeCell ref="A4:B4"/>
    <mergeCell ref="C4:E4"/>
    <mergeCell ref="F4:H4"/>
    <mergeCell ref="I4:J4"/>
    <mergeCell ref="M4:N4"/>
    <mergeCell ref="O4:P4"/>
    <mergeCell ref="Q4:R4"/>
    <mergeCell ref="A1:K1"/>
    <mergeCell ref="A3:B3"/>
    <mergeCell ref="C3:E3"/>
    <mergeCell ref="F3:H3"/>
    <mergeCell ref="I3:J3"/>
    <mergeCell ref="M3:N3"/>
  </mergeCells>
  <printOptions horizontalCentered="1" verticalCentered="1"/>
  <pageMargins left="0.3937007874015748" right="0.3937007874015748" top="0.7874015748031497" bottom="0.3937007874015748" header="0.5118110236220472" footer="0.3937007874015748"/>
  <pageSetup blackAndWhite="1" errors="blank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Administrator</cp:lastModifiedBy>
  <cp:lastPrinted>2014-03-26T12:42:01Z</cp:lastPrinted>
  <dcterms:created xsi:type="dcterms:W3CDTF">2008-08-06T02:26:02Z</dcterms:created>
  <dcterms:modified xsi:type="dcterms:W3CDTF">2019-04-23T07:09:49Z</dcterms:modified>
  <cp:category/>
  <cp:version/>
  <cp:contentType/>
  <cp:contentStatus/>
</cp:coreProperties>
</file>